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workzone.uni.au.dk/Explorer/"/>
    </mc:Choice>
  </mc:AlternateContent>
  <xr:revisionPtr revIDLastSave="0" documentId="13_ncr:40000001_{17CBEBCC-262D-416C-A09F-F52D2581308C}" xr6:coauthVersionLast="47" xr6:coauthVersionMax="47" xr10:uidLastSave="{00000000-0000-0000-0000-000000000000}"/>
  <bookViews>
    <workbookView xWindow="-30828" yWindow="-108" windowWidth="30936" windowHeight="16776" activeTab="1" xr2:uid="{00000000-000D-0000-FFFF-FFFF00000000}"/>
  </bookViews>
  <sheets>
    <sheet name="Normtid" sheetId="3" r:id="rId1"/>
    <sheet name="Beregning 2026" sheetId="1" r:id="rId2"/>
  </sheets>
  <definedNames>
    <definedName name="Datavalidering">'Beregning 2026'!#REF!:OFFSET('Beregning 2026'!#REF!,0,COUNTA('Beregning 2026'!$22:$22)-1)</definedName>
    <definedName name="_xlnm.Print_Area" localSheetId="1">'Beregning 2026'!$A$5:$I$26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C41" i="1"/>
  <c r="B24" i="1"/>
  <c r="B13" i="1"/>
  <c r="L8" i="1" l="1"/>
  <c r="N8" i="1" s="1"/>
  <c r="M8" i="1" l="1"/>
  <c r="L7" i="1"/>
  <c r="M7" i="1" s="1"/>
  <c r="B22" i="1"/>
  <c r="B20" i="1"/>
  <c r="N7" i="1" l="1"/>
  <c r="C22" i="1"/>
  <c r="D22" i="1" l="1"/>
  <c r="E22" i="1" s="1"/>
  <c r="F22" i="1" s="1"/>
  <c r="G22" i="1" s="1"/>
  <c r="H22" i="1" s="1"/>
  <c r="E11" i="1" l="1"/>
  <c r="F11" i="1" l="1"/>
  <c r="B23" i="1" s="1"/>
  <c r="C23" i="1" l="1"/>
  <c r="C24" i="1" l="1"/>
  <c r="C25" i="1" s="1"/>
  <c r="B26" i="1"/>
  <c r="B25" i="1"/>
  <c r="D23" i="1"/>
  <c r="D24" i="1" l="1"/>
  <c r="D25" i="1" s="1"/>
  <c r="C26" i="1"/>
  <c r="E23" i="1"/>
  <c r="D26" i="1" l="1"/>
  <c r="E24" i="1"/>
  <c r="F23" i="1"/>
  <c r="F24" i="1" l="1"/>
  <c r="F25" i="1" s="1"/>
  <c r="E25" i="1"/>
  <c r="E26" i="1"/>
  <c r="G23" i="1"/>
  <c r="F26" i="1" l="1"/>
  <c r="G24" i="1"/>
  <c r="G26" i="1" s="1"/>
  <c r="H23" i="1"/>
  <c r="H24" i="1" s="1"/>
  <c r="G25" i="1" l="1"/>
  <c r="H26" i="1"/>
  <c r="H25" i="1"/>
</calcChain>
</file>

<file path=xl/sharedStrings.xml><?xml version="1.0" encoding="utf-8"?>
<sst xmlns="http://schemas.openxmlformats.org/spreadsheetml/2006/main" count="65" uniqueCount="48">
  <si>
    <t>**</t>
  </si>
  <si>
    <t>Indeksregulering</t>
  </si>
  <si>
    <t>Bidrag pr. time:</t>
  </si>
  <si>
    <t>Faktor:</t>
  </si>
  <si>
    <t>*</t>
  </si>
  <si>
    <t>Beregnet kostpris pr. måned afrundet</t>
  </si>
  <si>
    <t>Beregnet kostpris pr. måned</t>
  </si>
  <si>
    <t>Beregnet kostpris pr. time</t>
  </si>
  <si>
    <t>Beregnet løn pr. time</t>
  </si>
  <si>
    <t>Samlet løn til beregning af kostpris:</t>
  </si>
  <si>
    <t>&lt;--- *</t>
  </si>
  <si>
    <t>Pension:</t>
  </si>
  <si>
    <t>Tillæg:</t>
  </si>
  <si>
    <t>Basisløn:</t>
  </si>
  <si>
    <t xml:space="preserve">   eller</t>
  </si>
  <si>
    <t>Samlet løn inkl. tillæg, pension mv.:</t>
  </si>
  <si>
    <t>Svarer til en timenorm på:</t>
  </si>
  <si>
    <t>Ansættelsesgrad</t>
  </si>
  <si>
    <t>Månedlig</t>
  </si>
  <si>
    <t>Årlig</t>
  </si>
  <si>
    <t>Navn (valgfrit)</t>
  </si>
  <si>
    <t>Oplyste løn til beregning er pr.</t>
  </si>
  <si>
    <t>Normal normtid</t>
  </si>
  <si>
    <t>Hvis afvigende normtid</t>
  </si>
  <si>
    <t>IOOS og IKM har nu muligheden for at vælge en afvigende standard normtid (som ikke er 1924)</t>
  </si>
  <si>
    <t>Version</t>
  </si>
  <si>
    <t>Nummer</t>
  </si>
  <si>
    <t>Navn</t>
  </si>
  <si>
    <t>Fuld normtid (timer)</t>
  </si>
  <si>
    <t>Alle andre numre</t>
  </si>
  <si>
    <t>311</t>
  </si>
  <si>
    <t>Klinisk professor</t>
  </si>
  <si>
    <t>321</t>
  </si>
  <si>
    <t>Klinisk lektor</t>
  </si>
  <si>
    <t>Historik for kostpriselementer</t>
  </si>
  <si>
    <t>De blå felter udfyldes - enten med en samlet løn eller lønnen fordelt på basisløn, tillæg og pension.</t>
  </si>
  <si>
    <t>I kostprisberegningen indgår lønudgiften og bevillingstimer for sidst kendte måned. Derudover indgår en faktor som skal sørge for at kostprisen også indeholder den særlige feriegodtgørelse, og netto ferieudbetalinger. Summen af AES-bidrag, AUB-bidrag, barsels- og fleksjobbidrag per time adderes. </t>
  </si>
  <si>
    <t>ATP - "Typisk løndel 607"</t>
  </si>
  <si>
    <t>-</t>
  </si>
  <si>
    <t>ATP er ikke inkluderet i det HR oplyser om lønniveau</t>
  </si>
  <si>
    <t>Estimeret sats for OK26.</t>
  </si>
  <si>
    <t>År</t>
  </si>
  <si>
    <t>Måned</t>
  </si>
  <si>
    <t>Dato</t>
  </si>
  <si>
    <t>Input</t>
  </si>
  <si>
    <t>Beregning af kostpris 2026</t>
  </si>
  <si>
    <t>Estimeret sats for OK26. Regnes med i kostpris hvis beregningsdato er før april i indeværende år</t>
  </si>
  <si>
    <t>Estimeret sats for OK26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</si>
</sst>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kr.&quot;* #,##0.00_);_(&quot;kr.&quot;* \(#,##0.00\);_(&quot;kr.&quot;* &quot;-&quot;??_);_(@_)"/>
    <numFmt numFmtId="165" formatCode="_ &quot;kr.&quot;\ * #,##0_ ;_ &quot;kr.&quot;\ * \-#,##0_ ;_ &quot;kr.&quot;\ * &quot;-&quot;??_ ;_ @_ "/>
    <numFmt numFmtId="166" formatCode="_ &quot;kr.&quot;\ * #,##0.00_ ;_ &quot;kr.&quot;\ * \-#,##0.00_ ;_ &quot;kr.&quot;\ * &quot;-&quot;??_ ;_ @_ "/>
    <numFmt numFmtId="167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0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4" fontId="0" fillId="0" borderId="0" xfId="0" applyNumberFormat="1"/>
    <xf numFmtId="0" fontId="4" fillId="0" borderId="0" xfId="0" applyFont="1" applyAlignment="1">
      <alignment horizontal="left" vertical="top" wrapText="1"/>
    </xf>
    <xf numFmtId="165" fontId="0" fillId="0" borderId="0" xfId="0" applyNumberFormat="1"/>
    <xf numFmtId="10" fontId="0" fillId="0" borderId="0" xfId="1" applyNumberFormat="1" applyFont="1"/>
    <xf numFmtId="0" fontId="5" fillId="0" borderId="2" xfId="0" applyFont="1" applyBorder="1"/>
    <xf numFmtId="166" fontId="0" fillId="0" borderId="0" xfId="0" applyNumberFormat="1"/>
    <xf numFmtId="0" fontId="5" fillId="0" borderId="0" xfId="0" applyFont="1"/>
    <xf numFmtId="0" fontId="6" fillId="0" borderId="2" xfId="0" applyFont="1" applyBorder="1" applyAlignment="1">
      <alignment horizontal="left"/>
    </xf>
    <xf numFmtId="0" fontId="0" fillId="0" borderId="5" xfId="0" applyBorder="1"/>
    <xf numFmtId="0" fontId="5" fillId="0" borderId="2" xfId="0" quotePrefix="1" applyFont="1" applyBorder="1"/>
    <xf numFmtId="0" fontId="0" fillId="0" borderId="6" xfId="0" applyBorder="1"/>
    <xf numFmtId="0" fontId="7" fillId="0" borderId="7" xfId="0" applyFont="1" applyBorder="1"/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4" fontId="2" fillId="0" borderId="0" xfId="0" applyNumberFormat="1" applyFont="1"/>
    <xf numFmtId="0" fontId="2" fillId="0" borderId="0" xfId="0" applyFont="1"/>
    <xf numFmtId="0" fontId="0" fillId="0" borderId="4" xfId="0" applyBorder="1"/>
    <xf numFmtId="49" fontId="8" fillId="4" borderId="0" xfId="2" applyNumberFormat="1" applyFont="1" applyFill="1"/>
    <xf numFmtId="49" fontId="4" fillId="0" borderId="0" xfId="2" applyNumberFormat="1"/>
    <xf numFmtId="4" fontId="4" fillId="0" borderId="0" xfId="2" applyNumberFormat="1"/>
    <xf numFmtId="0" fontId="0" fillId="0" borderId="6" xfId="0" quotePrefix="1" applyBorder="1"/>
    <xf numFmtId="0" fontId="0" fillId="0" borderId="2" xfId="0" applyBorder="1"/>
    <xf numFmtId="0" fontId="7" fillId="0" borderId="2" xfId="0" applyFont="1" applyBorder="1"/>
    <xf numFmtId="0" fontId="10" fillId="0" borderId="0" xfId="3" applyFont="1"/>
    <xf numFmtId="0" fontId="0" fillId="0" borderId="0" xfId="0" applyAlignment="1">
      <alignment horizontal="left" vertical="top" wrapText="1"/>
    </xf>
    <xf numFmtId="0" fontId="0" fillId="0" borderId="8" xfId="0" applyBorder="1"/>
    <xf numFmtId="0" fontId="4" fillId="0" borderId="0" xfId="0" applyFont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2" fillId="0" borderId="2" xfId="0" applyFont="1" applyBorder="1"/>
    <xf numFmtId="0" fontId="13" fillId="5" borderId="2" xfId="0" applyFont="1" applyFill="1" applyBorder="1"/>
    <xf numFmtId="166" fontId="11" fillId="5" borderId="0" xfId="0" applyNumberFormat="1" applyFont="1" applyFill="1"/>
    <xf numFmtId="165" fontId="0" fillId="0" borderId="5" xfId="0" applyNumberFormat="1" applyBorder="1"/>
    <xf numFmtId="0" fontId="12" fillId="0" borderId="9" xfId="0" applyFont="1" applyBorder="1"/>
    <xf numFmtId="165" fontId="0" fillId="0" borderId="4" xfId="0" applyNumberFormat="1" applyBorder="1"/>
    <xf numFmtId="165" fontId="0" fillId="0" borderId="3" xfId="0" applyNumberFormat="1" applyBorder="1"/>
    <xf numFmtId="0" fontId="0" fillId="6" borderId="0" xfId="0" applyFill="1"/>
    <xf numFmtId="14" fontId="0" fillId="6" borderId="0" xfId="0" applyNumberFormat="1" applyFill="1"/>
    <xf numFmtId="2" fontId="0" fillId="6" borderId="0" xfId="0" applyNumberFormat="1" applyFill="1"/>
    <xf numFmtId="166" fontId="0" fillId="6" borderId="0" xfId="0" applyNumberFormat="1" applyFill="1"/>
    <xf numFmtId="0" fontId="2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/>
    <xf numFmtId="0" fontId="0" fillId="6" borderId="0" xfId="0" applyFill="1" applyAlignment="1">
      <alignment horizontal="right"/>
    </xf>
    <xf numFmtId="2" fontId="0" fillId="0" borderId="0" xfId="0" applyNumberFormat="1"/>
    <xf numFmtId="0" fontId="5" fillId="0" borderId="10" xfId="0" applyFont="1" applyBorder="1"/>
    <xf numFmtId="14" fontId="2" fillId="0" borderId="11" xfId="0" applyNumberFormat="1" applyFont="1" applyBorder="1" applyAlignment="1">
      <alignment horizontal="right"/>
    </xf>
    <xf numFmtId="14" fontId="2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7" xfId="0" applyFont="1" applyBorder="1"/>
    <xf numFmtId="166" fontId="0" fillId="0" borderId="6" xfId="0" applyNumberFormat="1" applyBorder="1"/>
    <xf numFmtId="166" fontId="0" fillId="0" borderId="8" xfId="0" applyNumberFormat="1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10" fontId="0" fillId="0" borderId="0" xfId="1" applyNumberFormat="1" applyFont="1" applyAlignment="1">
      <alignment horizontal="left"/>
    </xf>
    <xf numFmtId="167" fontId="0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Link" xfId="3" builtinId="8"/>
    <cellStyle name="Normal" xfId="0" builtinId="0"/>
    <cellStyle name="Normal_Ark1" xfId="2" xr:uid="{00000000-0005-0000-0000-000002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C7" sqref="C7"/>
    </sheetView>
  </sheetViews>
  <sheetFormatPr defaultRowHeight="14.4" x14ac:dyDescent="0.3"/>
  <cols>
    <col min="1" max="1" width="16.5546875" bestFit="1" customWidth="1"/>
    <col min="2" max="2" width="25.88671875" customWidth="1"/>
    <col min="3" max="3" width="19.44140625" bestFit="1" customWidth="1"/>
  </cols>
  <sheetData>
    <row r="1" spans="1:3" x14ac:dyDescent="0.3">
      <c r="A1" s="21" t="s">
        <v>26</v>
      </c>
      <c r="B1" s="21" t="s">
        <v>27</v>
      </c>
      <c r="C1" s="21" t="s">
        <v>28</v>
      </c>
    </row>
    <row r="2" spans="1:3" x14ac:dyDescent="0.3">
      <c r="A2" s="22" t="s">
        <v>29</v>
      </c>
      <c r="B2" s="22" t="s">
        <v>22</v>
      </c>
      <c r="C2" s="23">
        <v>1924</v>
      </c>
    </row>
    <row r="3" spans="1:3" x14ac:dyDescent="0.3">
      <c r="A3" s="22" t="s">
        <v>30</v>
      </c>
      <c r="B3" s="22" t="s">
        <v>31</v>
      </c>
      <c r="C3" s="23">
        <v>760</v>
      </c>
    </row>
    <row r="4" spans="1:3" x14ac:dyDescent="0.3">
      <c r="A4" s="22" t="s">
        <v>32</v>
      </c>
      <c r="B4" s="22" t="s">
        <v>33</v>
      </c>
      <c r="C4" s="23">
        <v>332.16</v>
      </c>
    </row>
    <row r="5" spans="1:3" x14ac:dyDescent="0.3">
      <c r="A5" s="22"/>
      <c r="B5" s="22"/>
      <c r="C5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1"/>
  <sheetViews>
    <sheetView showGridLines="0" tabSelected="1" topLeftCell="A22" zoomScaleNormal="100" zoomScaleSheetLayoutView="100" workbookViewId="0">
      <selection activeCell="C41" sqref="C41"/>
    </sheetView>
  </sheetViews>
  <sheetFormatPr defaultRowHeight="14.4" outlineLevelCol="1" x14ac:dyDescent="0.3"/>
  <cols>
    <col min="1" max="1" width="37.44140625" customWidth="1"/>
    <col min="2" max="2" width="19.88671875" bestFit="1" customWidth="1"/>
    <col min="3" max="9" width="13" customWidth="1"/>
    <col min="10" max="10" width="11" bestFit="1" customWidth="1"/>
    <col min="11" max="11" width="12.5546875" hidden="1" customWidth="1" outlineLevel="1"/>
    <col min="12" max="12" width="13.44140625" hidden="1" customWidth="1" outlineLevel="1"/>
    <col min="13" max="14" width="11" hidden="1" customWidth="1" outlineLevel="1"/>
    <col min="15" max="15" width="9.109375" collapsed="1"/>
  </cols>
  <sheetData>
    <row r="1" spans="1:14" x14ac:dyDescent="0.3">
      <c r="H1" s="19" t="s">
        <v>25</v>
      </c>
      <c r="I1" s="18">
        <v>46023</v>
      </c>
    </row>
    <row r="2" spans="1:14" x14ac:dyDescent="0.3">
      <c r="A2" s="46" t="s">
        <v>35</v>
      </c>
      <c r="B2" s="47"/>
      <c r="C2" s="42"/>
      <c r="D2" s="42"/>
      <c r="E2" s="42"/>
    </row>
    <row r="3" spans="1:14" x14ac:dyDescent="0.3">
      <c r="A3" s="17" t="s">
        <v>24</v>
      </c>
      <c r="B3" s="16"/>
      <c r="C3" s="16"/>
      <c r="D3" s="16"/>
      <c r="E3" s="16"/>
    </row>
    <row r="4" spans="1:14" ht="15" thickBot="1" x14ac:dyDescent="0.35">
      <c r="A4" s="3"/>
      <c r="B4" s="3"/>
      <c r="C4" s="3"/>
      <c r="D4" s="3"/>
      <c r="E4" s="20"/>
      <c r="F4" s="20"/>
      <c r="G4" s="20"/>
    </row>
    <row r="5" spans="1:14" ht="25.8" x14ac:dyDescent="0.5">
      <c r="A5" s="15" t="s">
        <v>45</v>
      </c>
      <c r="B5" s="14"/>
      <c r="C5" s="14"/>
      <c r="D5" s="14"/>
      <c r="E5" s="14"/>
      <c r="F5" s="24"/>
      <c r="G5" s="24"/>
      <c r="H5" s="14"/>
      <c r="I5" s="29"/>
    </row>
    <row r="6" spans="1:14" ht="21.75" customHeight="1" x14ac:dyDescent="0.3">
      <c r="A6" s="25"/>
      <c r="G6" s="10"/>
      <c r="I6" s="12"/>
      <c r="L6" t="s">
        <v>43</v>
      </c>
      <c r="M6" t="s">
        <v>41</v>
      </c>
      <c r="N6" t="s">
        <v>42</v>
      </c>
    </row>
    <row r="7" spans="1:14" ht="15.6" x14ac:dyDescent="0.3">
      <c r="A7" s="13" t="s">
        <v>23</v>
      </c>
      <c r="B7" s="51" t="s">
        <v>22</v>
      </c>
      <c r="I7" s="12"/>
      <c r="K7" t="s">
        <v>44</v>
      </c>
      <c r="L7" t="str">
        <f>TEXT(B8,"dd-mm-åååå")</f>
        <v>01-05-2026</v>
      </c>
      <c r="M7" s="4" t="str">
        <f>RIGHT(L7,4)</f>
        <v>2026</v>
      </c>
      <c r="N7" s="4" t="str">
        <f>LEFT(RIGHT(L7,7),2)</f>
        <v>05</v>
      </c>
    </row>
    <row r="8" spans="1:14" ht="15.6" x14ac:dyDescent="0.3">
      <c r="A8" s="13" t="s">
        <v>21</v>
      </c>
      <c r="B8" s="43">
        <v>46143</v>
      </c>
      <c r="I8" s="12"/>
      <c r="K8" t="s">
        <v>41</v>
      </c>
      <c r="L8" t="str">
        <f>TEXT(B39,"dd-mm-åååå")</f>
        <v>01-01-2026</v>
      </c>
      <c r="M8" s="4" t="str">
        <f>RIGHT(L8,4)</f>
        <v>2026</v>
      </c>
      <c r="N8" s="4" t="str">
        <f>LEFT(RIGHT(L8,7),2)</f>
        <v>01</v>
      </c>
    </row>
    <row r="9" spans="1:14" ht="15" customHeight="1" x14ac:dyDescent="0.5">
      <c r="A9" s="26"/>
      <c r="I9" s="12"/>
    </row>
    <row r="10" spans="1:14" ht="15.6" x14ac:dyDescent="0.3">
      <c r="A10" s="13" t="s">
        <v>20</v>
      </c>
      <c r="B10" s="42"/>
      <c r="E10" s="60" t="s">
        <v>19</v>
      </c>
      <c r="F10" s="60" t="s">
        <v>18</v>
      </c>
      <c r="I10" s="12"/>
      <c r="J10" s="32"/>
    </row>
    <row r="11" spans="1:14" ht="15.6" x14ac:dyDescent="0.3">
      <c r="A11" s="8" t="s">
        <v>17</v>
      </c>
      <c r="B11" s="44">
        <v>1</v>
      </c>
      <c r="C11" t="s">
        <v>16</v>
      </c>
      <c r="E11" s="61">
        <f>B11*VLOOKUP(B7,Normtid!$B$2:$C$4,2,0)</f>
        <v>1924</v>
      </c>
      <c r="F11" s="60">
        <f>ROUND(E11/12,2)</f>
        <v>160.33000000000001</v>
      </c>
      <c r="I11" s="12"/>
    </row>
    <row r="12" spans="1:14" ht="15.6" x14ac:dyDescent="0.3">
      <c r="A12" s="8"/>
      <c r="G12" s="5"/>
      <c r="I12" s="12"/>
    </row>
    <row r="13" spans="1:14" ht="15.6" x14ac:dyDescent="0.3">
      <c r="A13" s="8" t="s">
        <v>15</v>
      </c>
      <c r="B13" s="45">
        <f>35614.33</f>
        <v>35614.33</v>
      </c>
      <c r="G13" s="5"/>
      <c r="I13" s="12"/>
    </row>
    <row r="14" spans="1:14" ht="15.6" x14ac:dyDescent="0.3">
      <c r="A14" s="11" t="s">
        <v>14</v>
      </c>
      <c r="G14" s="5"/>
      <c r="I14" s="12"/>
    </row>
    <row r="15" spans="1:14" ht="15.6" x14ac:dyDescent="0.3">
      <c r="A15" s="8" t="s">
        <v>13</v>
      </c>
      <c r="B15" s="45"/>
      <c r="G15" s="5"/>
      <c r="I15" s="12"/>
    </row>
    <row r="16" spans="1:14" ht="15.6" x14ac:dyDescent="0.3">
      <c r="A16" s="8" t="s">
        <v>12</v>
      </c>
      <c r="B16" s="45"/>
      <c r="G16" s="5"/>
      <c r="I16" s="12"/>
    </row>
    <row r="17" spans="1:13" ht="15.6" x14ac:dyDescent="0.3">
      <c r="A17" s="8" t="s">
        <v>11</v>
      </c>
      <c r="B17" s="45"/>
      <c r="G17" s="5"/>
      <c r="I17" s="12"/>
    </row>
    <row r="18" spans="1:13" ht="15.6" x14ac:dyDescent="0.3">
      <c r="A18" s="8" t="s">
        <v>37</v>
      </c>
      <c r="B18" s="42"/>
      <c r="C18" s="10" t="s">
        <v>10</v>
      </c>
      <c r="D18" s="10"/>
      <c r="I18" s="12"/>
    </row>
    <row r="19" spans="1:13" ht="15.6" x14ac:dyDescent="0.3">
      <c r="A19" s="8"/>
      <c r="G19" s="5"/>
      <c r="I19" s="12"/>
      <c r="M19" s="63"/>
    </row>
    <row r="20" spans="1:13" ht="15.6" x14ac:dyDescent="0.3">
      <c r="A20" s="8" t="s">
        <v>9</v>
      </c>
      <c r="B20" s="9">
        <f>IF(B13="",SUM(B15:B18),B13)</f>
        <v>35614.33</v>
      </c>
      <c r="G20" s="5"/>
      <c r="I20" s="12"/>
    </row>
    <row r="21" spans="1:13" ht="16.2" thickBot="1" x14ac:dyDescent="0.35">
      <c r="A21" s="8"/>
      <c r="B21" s="9"/>
      <c r="G21" s="5"/>
      <c r="I21" s="12"/>
    </row>
    <row r="22" spans="1:13" ht="16.2" thickBot="1" x14ac:dyDescent="0.35">
      <c r="A22" s="53"/>
      <c r="B22" s="54">
        <f>B8</f>
        <v>46143</v>
      </c>
      <c r="C22" s="54">
        <f>IF(B22&lt;$B$39,$B$39,IF(B22&lt;$B$40,$B$40,IF(B22&lt;$B$41,$B$41,IF(B22&lt;$B$42,$B$42,IF(B22&lt;$B$43,$B$43,IF(B22&lt;$B$44,$B$44,IF(B22&lt;#REF!,#REF!,"")))))))</f>
        <v>46388</v>
      </c>
      <c r="D22" s="54">
        <f>IF(C22&lt;$B$39,$B$39,IF(C22&lt;$B$40,$B$40,IF(C22&lt;$B$41,$B$41,IF(C22&lt;$B$42,$B$42,IF(C22&lt;$B$43,$B$43,IF(C22&lt;$B$44,$B$44,IF(C22&lt;#REF!,#REF!,"")))))))</f>
        <v>46753</v>
      </c>
      <c r="E22" s="54">
        <f>IF(D22&lt;$B$39,$B$39,IF(D22&lt;$B$40,$B$40,IF(D22&lt;$B$41,$B$41,IF(D22&lt;$B$42,$B$42,IF(D22&lt;$B$43,$B$43,IF(D22&lt;$B$44,$B$44,IF(D22&lt;#REF!,#REF!,"")))))))</f>
        <v>47119</v>
      </c>
      <c r="F22" s="54">
        <f>IF(E22&lt;$B$39,$B$39,IF(E22&lt;$B$40,$B$40,IF(E22&lt;$B$41,$B$41,IF(E22&lt;$B$42,$B$42,IF(E22&lt;$B$43,$B$43,IF(E22&lt;$B$44,$B$44,IF(E22&lt;#REF!,#REF!,"")))))))</f>
        <v>47484</v>
      </c>
      <c r="G22" s="54">
        <f>IF(F22&lt;$B$39,$B$39,IF(F22&lt;$B$40,$B$40,IF(F22&lt;$B$41,$B$41,IF(F22&lt;$B$42,$B$42,IF(F22&lt;$B$43,$B$43,IF(F22&lt;$B$44,$B$44,IF(F22&lt;#REF!,#REF!,"")))))))</f>
        <v>47849</v>
      </c>
      <c r="H22" s="54" t="e">
        <f>IF(G22&lt;$B$39,$B$39,IF(G22&lt;$B$40,$B$40,IF(G22&lt;$B$41,$B$41,IF(G22&lt;$B$42,$B$42,IF(G22&lt;$B$43,$B$43,IF(G22&lt;$B$44,$B$44,IF(G22&lt;#REF!,#REF!,"")))))))</f>
        <v>#REF!</v>
      </c>
      <c r="I22" s="55" t="s">
        <v>38</v>
      </c>
    </row>
    <row r="23" spans="1:13" ht="15.6" x14ac:dyDescent="0.3">
      <c r="A23" s="57" t="s">
        <v>8</v>
      </c>
      <c r="B23" s="58">
        <f>$B$20/$F$11</f>
        <v>222.13141645356453</v>
      </c>
      <c r="C23" s="58">
        <f>IFERROR(B23*(1+VLOOKUP(C22,$B$39:$C$47,2,FALSE)),0)</f>
        <v>229.11028589300173</v>
      </c>
      <c r="D23" s="58">
        <f t="shared" ref="D23:H23" si="0">IFERROR(C23*(1+VLOOKUP(D22,$B$39:$C$47,2,FALSE)),0)</f>
        <v>234.83804304032677</v>
      </c>
      <c r="E23" s="58">
        <f t="shared" si="0"/>
        <v>240.70899411633491</v>
      </c>
      <c r="F23" s="58">
        <f t="shared" si="0"/>
        <v>246.72671896924325</v>
      </c>
      <c r="G23" s="58">
        <f t="shared" si="0"/>
        <v>252.89488694347432</v>
      </c>
      <c r="H23" s="58">
        <f t="shared" si="0"/>
        <v>0</v>
      </c>
      <c r="I23" s="59" t="s">
        <v>38</v>
      </c>
      <c r="K23" s="63"/>
    </row>
    <row r="24" spans="1:13" ht="15.6" x14ac:dyDescent="0.3">
      <c r="A24" s="36" t="s">
        <v>7</v>
      </c>
      <c r="B24" s="37">
        <f>IF($M$7=$M$8,IF(OR($N$7="01", $N$7="02",$N$7="03"), $B$23*$B$35*$C$39+$B$36, $B$23*$B$35+$B$36),$B$23*$B$35+$B$36)</f>
        <v>233.97535894717149</v>
      </c>
      <c r="C24" s="37">
        <f>IF(C23=0,0,B24*(1+VLOOKUP(C22,$B$39:$C$47,2,FALSE)))</f>
        <v>241.32633841782692</v>
      </c>
      <c r="D24" s="37">
        <f>IF(D23=0,0,C24*(1+VLOOKUP(D22,$B$39:$C$47,2,FALSE)))</f>
        <v>247.35949687827258</v>
      </c>
      <c r="E24" s="37">
        <f>IF(E23=0,0,D24*(1+VLOOKUP(E22,$B$39:$C$47,2,FALSE)))</f>
        <v>253.54348430022938</v>
      </c>
      <c r="F24" s="37">
        <f>IF(F23=0,0,E24*(1+VLOOKUP(F22,$B$39:$C$47,2,FALSE)))</f>
        <v>259.88207140773511</v>
      </c>
      <c r="G24" s="37">
        <f>IF(G23=0,0,F24*(1+VLOOKUP(G22,$B$39:$C$47,2,FALSE)))</f>
        <v>266.37912319292849</v>
      </c>
      <c r="H24" s="37">
        <f t="shared" ref="H24" si="1">IF(H23=0,0,H23*$B$35+$B$36)</f>
        <v>0</v>
      </c>
      <c r="I24" s="37" t="s">
        <v>38</v>
      </c>
      <c r="J24" s="7"/>
      <c r="K24" s="7"/>
    </row>
    <row r="25" spans="1:13" ht="15.6" x14ac:dyDescent="0.3">
      <c r="A25" s="35" t="s">
        <v>6</v>
      </c>
      <c r="B25" s="6">
        <f>B24*$F$11</f>
        <v>37513.269300000007</v>
      </c>
      <c r="C25" s="6">
        <f t="shared" ref="C25:H25" si="2">C24*$F$11</f>
        <v>38691.851838530194</v>
      </c>
      <c r="D25" s="6">
        <f t="shared" si="2"/>
        <v>39659.148134493444</v>
      </c>
      <c r="E25" s="6">
        <f t="shared" si="2"/>
        <v>40650.62683785578</v>
      </c>
      <c r="F25" s="6">
        <f t="shared" si="2"/>
        <v>41666.892508802172</v>
      </c>
      <c r="G25" s="6">
        <f t="shared" si="2"/>
        <v>42708.564821522225</v>
      </c>
      <c r="H25" s="6">
        <f t="shared" si="2"/>
        <v>0</v>
      </c>
      <c r="I25" s="38" t="s">
        <v>38</v>
      </c>
      <c r="J25" s="7"/>
      <c r="K25" s="7"/>
    </row>
    <row r="26" spans="1:13" ht="16.2" thickBot="1" x14ac:dyDescent="0.35">
      <c r="A26" s="39" t="s">
        <v>5</v>
      </c>
      <c r="B26" s="40">
        <f>ROUNDUP(B24*$F$11,-2)</f>
        <v>37600</v>
      </c>
      <c r="C26" s="40">
        <f t="shared" ref="C26:H26" si="3">ROUNDUP(C24*$F$11,-2)</f>
        <v>38700</v>
      </c>
      <c r="D26" s="40">
        <f t="shared" si="3"/>
        <v>39700</v>
      </c>
      <c r="E26" s="40">
        <f t="shared" si="3"/>
        <v>40700</v>
      </c>
      <c r="F26" s="40">
        <f t="shared" si="3"/>
        <v>41700</v>
      </c>
      <c r="G26" s="40">
        <f t="shared" si="3"/>
        <v>42800</v>
      </c>
      <c r="H26" s="40">
        <f t="shared" si="3"/>
        <v>0</v>
      </c>
      <c r="I26" s="41" t="s">
        <v>38</v>
      </c>
    </row>
    <row r="27" spans="1:13" x14ac:dyDescent="0.3">
      <c r="E27" s="3"/>
      <c r="F27" s="5"/>
    </row>
    <row r="28" spans="1:13" x14ac:dyDescent="0.3">
      <c r="B28" s="6"/>
      <c r="E28" s="3"/>
      <c r="F28" s="5"/>
    </row>
    <row r="30" spans="1:13" ht="15.6" x14ac:dyDescent="0.3">
      <c r="A30" s="1" t="s">
        <v>4</v>
      </c>
    </row>
    <row r="31" spans="1:13" x14ac:dyDescent="0.3">
      <c r="A31" t="s">
        <v>39</v>
      </c>
      <c r="K31" s="63"/>
    </row>
    <row r="32" spans="1:13" x14ac:dyDescent="0.3">
      <c r="D32" s="66" t="s">
        <v>34</v>
      </c>
      <c r="E32" s="66"/>
      <c r="F32" s="66"/>
      <c r="G32" s="66"/>
      <c r="H32" s="66"/>
      <c r="I32" s="66"/>
      <c r="K32" s="63"/>
    </row>
    <row r="33" spans="1:10" x14ac:dyDescent="0.3">
      <c r="E33" s="34"/>
      <c r="F33" s="34"/>
      <c r="G33" s="34"/>
      <c r="H33" s="34"/>
      <c r="I33" s="34"/>
    </row>
    <row r="34" spans="1:10" x14ac:dyDescent="0.3">
      <c r="B34" s="31">
        <v>2026</v>
      </c>
      <c r="C34" s="50" t="s">
        <v>0</v>
      </c>
      <c r="D34" s="31">
        <v>2025</v>
      </c>
      <c r="E34" s="31">
        <v>2024</v>
      </c>
      <c r="F34" s="48">
        <v>2023</v>
      </c>
      <c r="G34" s="48">
        <v>2022</v>
      </c>
      <c r="H34" s="62">
        <v>2021</v>
      </c>
      <c r="I34" s="62">
        <v>44075</v>
      </c>
      <c r="J34" s="27"/>
    </row>
    <row r="35" spans="1:10" x14ac:dyDescent="0.3">
      <c r="A35" s="3" t="s">
        <v>3</v>
      </c>
      <c r="B35" s="30">
        <v>1.03</v>
      </c>
      <c r="D35" s="30">
        <v>1.03</v>
      </c>
      <c r="E35" s="30">
        <v>1.0249999999999999</v>
      </c>
      <c r="F35" s="49">
        <v>1.0249999999999999</v>
      </c>
      <c r="G35" s="49">
        <v>1.02</v>
      </c>
      <c r="H35" s="34">
        <v>1.02</v>
      </c>
      <c r="I35" s="34">
        <v>1.02</v>
      </c>
    </row>
    <row r="36" spans="1:10" x14ac:dyDescent="0.3">
      <c r="A36" s="3" t="s">
        <v>2</v>
      </c>
      <c r="B36" s="56">
        <v>5.18</v>
      </c>
      <c r="D36" s="56">
        <v>5.2</v>
      </c>
      <c r="E36" s="56">
        <v>4.9800000000000004</v>
      </c>
      <c r="F36" s="49">
        <v>4.8600000000000003</v>
      </c>
      <c r="G36" s="49">
        <v>4.8600000000000003</v>
      </c>
      <c r="H36" s="34">
        <v>4.6500000000000004</v>
      </c>
      <c r="I36" s="34">
        <v>4.47</v>
      </c>
    </row>
    <row r="37" spans="1:10" x14ac:dyDescent="0.3">
      <c r="A37" s="3"/>
      <c r="B37" s="56"/>
      <c r="D37" s="56"/>
      <c r="E37" s="56"/>
      <c r="F37" s="49"/>
      <c r="G37" s="49"/>
      <c r="H37" s="34"/>
      <c r="I37" s="34"/>
    </row>
    <row r="38" spans="1:10" x14ac:dyDescent="0.3">
      <c r="A38" s="3"/>
      <c r="B38" s="30"/>
      <c r="C38" s="64"/>
      <c r="D38" s="34"/>
      <c r="E38" s="34"/>
      <c r="F38" s="49"/>
      <c r="G38" s="49"/>
      <c r="H38" s="49"/>
      <c r="I38" s="49"/>
    </row>
    <row r="39" spans="1:10" x14ac:dyDescent="0.3">
      <c r="A39" s="3" t="s">
        <v>1</v>
      </c>
      <c r="B39" s="4">
        <v>46023</v>
      </c>
      <c r="C39" s="2">
        <v>1.0249999999999999</v>
      </c>
      <c r="D39" t="s">
        <v>46</v>
      </c>
    </row>
    <row r="40" spans="1:10" x14ac:dyDescent="0.3">
      <c r="A40" s="3" t="s">
        <v>1</v>
      </c>
      <c r="B40" s="4">
        <v>46388</v>
      </c>
      <c r="C40" s="2">
        <f>2.5%+J40</f>
        <v>3.1417750585929084E-2</v>
      </c>
      <c r="D40" t="s">
        <v>47</v>
      </c>
      <c r="J40" s="65">
        <v>6.4177505859290803E-3</v>
      </c>
    </row>
    <row r="41" spans="1:10" x14ac:dyDescent="0.3">
      <c r="A41" s="3" t="s">
        <v>1</v>
      </c>
      <c r="B41" s="4">
        <v>46753</v>
      </c>
      <c r="C41" s="2">
        <f>2.5%</f>
        <v>2.5000000000000001E-2</v>
      </c>
      <c r="D41" s="52" t="s">
        <v>40</v>
      </c>
    </row>
    <row r="42" spans="1:10" x14ac:dyDescent="0.3">
      <c r="A42" s="3" t="s">
        <v>1</v>
      </c>
      <c r="B42" s="4">
        <v>47119</v>
      </c>
      <c r="C42" s="2">
        <v>2.5000000000000001E-2</v>
      </c>
      <c r="D42" s="52" t="s">
        <v>40</v>
      </c>
    </row>
    <row r="43" spans="1:10" x14ac:dyDescent="0.3">
      <c r="A43" s="3" t="s">
        <v>1</v>
      </c>
      <c r="B43" s="4">
        <v>47484</v>
      </c>
      <c r="C43" s="2">
        <v>2.5000000000000001E-2</v>
      </c>
      <c r="D43" s="52" t="s">
        <v>40</v>
      </c>
    </row>
    <row r="44" spans="1:10" x14ac:dyDescent="0.3">
      <c r="A44" s="3" t="s">
        <v>1</v>
      </c>
      <c r="B44" s="4">
        <v>47849</v>
      </c>
      <c r="C44" s="2">
        <v>2.5000000000000001E-2</v>
      </c>
      <c r="D44" s="52" t="s">
        <v>40</v>
      </c>
    </row>
    <row r="45" spans="1:10" x14ac:dyDescent="0.3">
      <c r="A45" s="3" t="s">
        <v>1</v>
      </c>
      <c r="B45" s="4">
        <v>47849</v>
      </c>
      <c r="C45" s="2">
        <v>2.5000000000000001E-2</v>
      </c>
      <c r="D45" s="52" t="s">
        <v>40</v>
      </c>
    </row>
    <row r="46" spans="1:10" x14ac:dyDescent="0.3">
      <c r="A46" s="3"/>
      <c r="B46" s="4"/>
      <c r="C46" s="2"/>
      <c r="D46" s="52"/>
    </row>
    <row r="47" spans="1:10" ht="15.6" x14ac:dyDescent="0.3">
      <c r="A47" s="1" t="s">
        <v>0</v>
      </c>
      <c r="B47" s="28"/>
      <c r="C47" s="28"/>
    </row>
    <row r="48" spans="1:10" ht="15" customHeight="1" x14ac:dyDescent="0.3">
      <c r="A48" s="67" t="s">
        <v>36</v>
      </c>
      <c r="B48" s="67"/>
      <c r="C48" s="67"/>
      <c r="D48" s="67"/>
      <c r="E48" s="67"/>
      <c r="F48" s="67"/>
      <c r="G48" s="67"/>
      <c r="H48" s="67"/>
      <c r="I48" s="67"/>
    </row>
    <row r="49" spans="1:9" ht="15" customHeight="1" x14ac:dyDescent="0.3">
      <c r="A49" s="67"/>
      <c r="B49" s="67"/>
      <c r="C49" s="67"/>
      <c r="D49" s="67"/>
      <c r="E49" s="67"/>
      <c r="F49" s="67"/>
      <c r="G49" s="67"/>
      <c r="H49" s="67"/>
      <c r="I49" s="67"/>
    </row>
    <row r="50" spans="1:9" x14ac:dyDescent="0.3">
      <c r="A50" s="33"/>
      <c r="D50" s="28"/>
      <c r="E50" s="28"/>
    </row>
    <row r="51" spans="1:9" x14ac:dyDescent="0.3">
      <c r="A51" s="28"/>
      <c r="D51" s="28"/>
      <c r="E51" s="28"/>
    </row>
  </sheetData>
  <protectedRanges>
    <protectedRange sqref="B8 B10:B18" name="kostpris"/>
  </protectedRanges>
  <mergeCells count="2">
    <mergeCell ref="D32:I32"/>
    <mergeCell ref="A48:I49"/>
  </mergeCells>
  <dataValidations count="1">
    <dataValidation type="date" allowBlank="1" showInputMessage="1" showErrorMessage="1" error="Du skal indtaste en dato" sqref="B8" xr:uid="{00000000-0002-0000-0100-000000000000}">
      <formula1>44197</formula1>
      <formula2>47849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Normtid!$B$2:$B$4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Normtid</vt:lpstr>
      <vt:lpstr>Beregning 2026</vt:lpstr>
      <vt:lpstr>'Beregning 2026'!Udskriftsområde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Garlov</dc:creator>
  <cp:lastModifiedBy>Sarah Fjord Raipell Hocksdahl</cp:lastModifiedBy>
  <dcterms:created xsi:type="dcterms:W3CDTF">2018-09-07T11:36:37Z</dcterms:created>
  <dcterms:modified xsi:type="dcterms:W3CDTF">2026-06-03T12:00:14Z</dcterms:modified>
</cp:coreProperties>
</file>