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u553544\Downloads\"/>
    </mc:Choice>
  </mc:AlternateContent>
  <xr:revisionPtr revIDLastSave="0" documentId="13_ncr:1_{E405BF0C-0358-4784-B783-DB74A2C8A2D8}" xr6:coauthVersionLast="47" xr6:coauthVersionMax="47" xr10:uidLastSave="{00000000-0000-0000-0000-000000000000}"/>
  <bookViews>
    <workbookView xWindow="-120" yWindow="-120" windowWidth="38640" windowHeight="21120" activeTab="1" xr2:uid="{00000000-000D-0000-FFFF-FFFF00000000}"/>
  </bookViews>
  <sheets>
    <sheet name="Normtid" sheetId="3" r:id="rId1"/>
    <sheet name="Beregning allokering 2023" sheetId="1" r:id="rId2"/>
    <sheet name="Beregning faktisk 2023" sheetId="4" r:id="rId3"/>
  </sheets>
  <definedNames>
    <definedName name="Datavalidering" localSheetId="2">'Beregning faktisk 2023'!#REF!:OFFSET('Beregning faktisk 2023'!#REF!,0,COUNTA('Beregning faktisk 2023'!$21:$21)-1)</definedName>
    <definedName name="Datavalidering">'Beregning allokering 2023'!#REF!:OFFSET('Beregning allokering 2023'!#REF!,0,COUNTA('Beregning allokering 2023'!$23:$23)-1)</definedName>
    <definedName name="_xlnm.Print_Area" localSheetId="1">'Beregning allokering 2023'!$A$5:$I$27</definedName>
    <definedName name="_xlnm.Print_Area" localSheetId="2">'Beregning faktisk 2023'!$A$4:$F$25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B23" i="1"/>
  <c r="C23" i="1" l="1"/>
  <c r="D23" i="1" s="1"/>
  <c r="E23" i="1" s="1"/>
  <c r="F23" i="1" s="1"/>
  <c r="G23" i="1" s="1"/>
  <c r="H23" i="1" s="1"/>
  <c r="I23" i="1" s="1"/>
  <c r="F1" i="4"/>
  <c r="F21" i="4" l="1"/>
  <c r="E21" i="4"/>
  <c r="D21" i="4"/>
  <c r="C21" i="4"/>
  <c r="B21" i="4"/>
  <c r="B19" i="4"/>
  <c r="F9" i="4"/>
  <c r="D22" i="4" l="1"/>
  <c r="C22" i="4"/>
  <c r="B22" i="4"/>
  <c r="B23" i="4" s="1"/>
  <c r="C23" i="4" s="1"/>
  <c r="F22" i="4"/>
  <c r="E22" i="4"/>
  <c r="B21" i="1"/>
  <c r="C24" i="4" l="1"/>
  <c r="D23" i="4"/>
  <c r="E23" i="4" s="1"/>
  <c r="F23" i="4" s="1"/>
  <c r="B25" i="4"/>
  <c r="B24" i="4"/>
  <c r="E11" i="1"/>
  <c r="C25" i="4" l="1"/>
  <c r="F11" i="1"/>
  <c r="D25" i="4" l="1"/>
  <c r="D24" i="4"/>
  <c r="B24" i="1"/>
  <c r="B25" i="1" s="1"/>
  <c r="B26" i="1" l="1"/>
  <c r="C24" i="1"/>
  <c r="E25" i="4"/>
  <c r="E24" i="4"/>
  <c r="F25" i="4"/>
  <c r="F24" i="4"/>
  <c r="C25" i="1" l="1"/>
  <c r="C27" i="1" s="1"/>
  <c r="D24" i="1"/>
  <c r="B27" i="1"/>
  <c r="D25" i="1" l="1"/>
  <c r="D27" i="1" s="1"/>
  <c r="E24" i="1"/>
  <c r="C26" i="1"/>
  <c r="D26" i="1" l="1"/>
  <c r="F24" i="1"/>
  <c r="G24" i="1" s="1"/>
  <c r="H24" i="1" s="1"/>
  <c r="I24" i="1" s="1"/>
  <c r="E25" i="1"/>
  <c r="E27" i="1" s="1"/>
  <c r="F25" i="1" l="1"/>
  <c r="F26" i="1" s="1"/>
  <c r="E26" i="1"/>
  <c r="G25" i="1"/>
  <c r="F27" i="1" l="1"/>
  <c r="G27" i="1"/>
  <c r="G26" i="1"/>
  <c r="H25" i="1"/>
  <c r="I25" i="1"/>
  <c r="I27" i="1" s="1"/>
  <c r="I26" i="1" l="1"/>
  <c r="H27" i="1"/>
  <c r="H26" i="1"/>
</calcChain>
</file>

<file path=xl/sharedStrings.xml><?xml version="1.0" encoding="utf-8"?>
<sst xmlns="http://schemas.openxmlformats.org/spreadsheetml/2006/main" count="92" uniqueCount="54">
  <si>
    <t>**</t>
  </si>
  <si>
    <t>Indeksregulering</t>
  </si>
  <si>
    <t>Bidrag pr. time:</t>
  </si>
  <si>
    <t>Faktor:</t>
  </si>
  <si>
    <t>Kan afvige fra kr. 167,74, og er ikke inkluderet i det HR oplyser om lønniveau</t>
  </si>
  <si>
    <t>*</t>
  </si>
  <si>
    <t>Beregnet kostpris pr. måned afrundet</t>
  </si>
  <si>
    <t>Beregnet kostpris pr. måned</t>
  </si>
  <si>
    <t>Beregnet kostpris pr. time</t>
  </si>
  <si>
    <t>Beregnet løn pr. time</t>
  </si>
  <si>
    <t>Samlet løn til beregning af kostpris:</t>
  </si>
  <si>
    <t>&lt;--- *</t>
  </si>
  <si>
    <t>Pension:</t>
  </si>
  <si>
    <t>Tillæg:</t>
  </si>
  <si>
    <t>Basisløn:</t>
  </si>
  <si>
    <t xml:space="preserve">   eller</t>
  </si>
  <si>
    <t>Samlet løn inkl. tillæg, pension mv.:</t>
  </si>
  <si>
    <t>Svarer til en timenorm på:</t>
  </si>
  <si>
    <t>Ansættelsesgrad</t>
  </si>
  <si>
    <t>Månedlig</t>
  </si>
  <si>
    <t>Årlig</t>
  </si>
  <si>
    <t>Navn (valgfrit)</t>
  </si>
  <si>
    <t>Oplyste løn til beregning er pr.</t>
  </si>
  <si>
    <t>Normal normtid</t>
  </si>
  <si>
    <t>Hvis afvigende normtid</t>
  </si>
  <si>
    <t>IOOS og IKM har nu muligheden for at vælge en afvigende standard normtid (som ikke er 1924)</t>
  </si>
  <si>
    <t>Version</t>
  </si>
  <si>
    <t>Nummer</t>
  </si>
  <si>
    <t>Navn</t>
  </si>
  <si>
    <t>Fuld normtid (timer)</t>
  </si>
  <si>
    <t>Alle andre numre</t>
  </si>
  <si>
    <t>311</t>
  </si>
  <si>
    <t>Klinisk professor</t>
  </si>
  <si>
    <t>321</t>
  </si>
  <si>
    <t>Klinisk lektor</t>
  </si>
  <si>
    <t>Historik for kostpriselementer</t>
  </si>
  <si>
    <t>De blå felter udfyldes - enten med en samlet løn eller lønnen fordelt på basisløn, tillæg og pension.</t>
  </si>
  <si>
    <t>OK21 satser</t>
  </si>
  <si>
    <t>Estimeret sats</t>
  </si>
  <si>
    <t>I kostprisberegningen indgår lønudgiften og bevillingstimer for sidst kendte måned. Derudover indgår en faktor som skal sørge for at kostprisen også indeholder den særlige feriegodtgørelse, samt en estimeret faktor der tager højde for den årlige lønreguering. Summen af AES-bidrag, AUB-bidrag, barsels- og fleksjobbidrag per time adderes. </t>
  </si>
  <si>
    <t>I kostprisberegningen indgår lønudgiften og bevillingstimer for sidst kendte måned. Derudover indgår en faktor som skal sørge for at kostprisen også indeholder den særlige feriegodtgørelse, og netto ferieudbetalinger. Summen af AES-bidrag, AUB-bidrag, barsels- og fleksjobbidrag per time adderes. </t>
  </si>
  <si>
    <t>Estimeret faktor år 1</t>
  </si>
  <si>
    <t>Estimeret faktor år 2</t>
  </si>
  <si>
    <t>Estimeret faktor år 3</t>
  </si>
  <si>
    <t>Estimeret faktor år 4</t>
  </si>
  <si>
    <t>Estimeret faktor år 5</t>
  </si>
  <si>
    <t>Estimeret faktor:</t>
  </si>
  <si>
    <t>Medtages kun ved genberegning i januar</t>
  </si>
  <si>
    <t>OK21 sats + reguleringsprocent i staten</t>
  </si>
  <si>
    <t>- oplyste priser fra og med januar 2022 (inkl. OK21-satser)</t>
  </si>
  <si>
    <t>Beregning af kostpris 2023</t>
  </si>
  <si>
    <t>**2023</t>
  </si>
  <si>
    <t>Kan afvige fra kr. 189,34, og er ikke inkluderet i det HR oplyser om lønniveau</t>
  </si>
  <si>
    <t>ATP - "Typisk løndel 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</si>
</sst>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quot;kr.&quot;\ * #,##0_ ;_ &quot;kr.&quot;\ * \-#,##0_ ;_ &quot;kr.&quot;\ * &quot;-&quot;??_ ;_ @_ "/>
    <numFmt numFmtId="165" formatCode="_ &quot;kr.&quot;\ * #,##0.00_ ;_ &quot;kr.&quot;\ * \-#,##0.00_ ;_ &quot;kr.&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1"/>
      <name val="Calibri"/>
      <family val="2"/>
      <scheme val="minor"/>
    </font>
    <font>
      <b/>
      <sz val="12"/>
      <color theme="1"/>
      <name val="Calibri"/>
      <family val="2"/>
      <scheme val="minor"/>
    </font>
    <font>
      <b/>
      <i/>
      <sz val="12"/>
      <color theme="1"/>
      <name val="Calibri"/>
      <family val="2"/>
      <scheme val="minor"/>
    </font>
    <font>
      <b/>
      <sz val="20"/>
      <color theme="1"/>
      <name val="Calibri"/>
      <family val="2"/>
      <scheme val="minor"/>
    </font>
    <font>
      <b/>
      <sz val="11"/>
      <name val="Calibri"/>
      <family val="2"/>
      <scheme val="minor"/>
    </font>
    <font>
      <u/>
      <sz val="11"/>
      <color theme="10"/>
      <name val="Calibri"/>
      <family val="2"/>
      <scheme val="minor"/>
    </font>
    <font>
      <b/>
      <u/>
      <sz val="11"/>
      <color theme="10"/>
      <name val="Calibri"/>
      <family val="2"/>
      <scheme val="minor"/>
    </font>
    <font>
      <b/>
      <sz val="11"/>
      <color theme="0"/>
      <name val="Calibri"/>
      <family val="2"/>
      <scheme val="minor"/>
    </font>
    <font>
      <sz val="12"/>
      <color theme="1"/>
      <name val="Calibri"/>
      <family val="2"/>
      <scheme val="minor"/>
    </font>
    <font>
      <b/>
      <sz val="12"/>
      <color theme="0"/>
      <name val="Calibri"/>
      <family val="2"/>
      <scheme val="minor"/>
    </font>
    <font>
      <b/>
      <u/>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3"/>
        <bgColor indexed="64"/>
      </patternFill>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0" fontId="9" fillId="0" borderId="0" applyNumberFormat="0" applyFill="0" applyBorder="0" applyAlignment="0" applyProtection="0"/>
  </cellStyleXfs>
  <cellXfs count="78">
    <xf numFmtId="0" fontId="0" fillId="0" borderId="0" xfId="0"/>
    <xf numFmtId="0" fontId="3" fillId="0" borderId="0" xfId="0" applyFont="1"/>
    <xf numFmtId="10" fontId="4" fillId="0" borderId="0" xfId="0" applyNumberFormat="1" applyFont="1" applyAlignment="1">
      <alignment horizontal="left" vertical="top" wrapText="1"/>
    </xf>
    <xf numFmtId="0" fontId="2" fillId="0" borderId="0" xfId="0" applyFont="1" applyAlignment="1">
      <alignment horizontal="left" vertical="top"/>
    </xf>
    <xf numFmtId="14" fontId="0" fillId="0" borderId="0" xfId="0" applyNumberFormat="1"/>
    <xf numFmtId="0" fontId="4" fillId="0" borderId="0" xfId="0" applyFont="1" applyAlignment="1">
      <alignment horizontal="left" vertical="top" wrapText="1"/>
    </xf>
    <xf numFmtId="164" fontId="0" fillId="0" borderId="0" xfId="0" applyNumberFormat="1"/>
    <xf numFmtId="10" fontId="0" fillId="0" borderId="0" xfId="1" applyNumberFormat="1" applyFont="1"/>
    <xf numFmtId="0" fontId="5" fillId="0" borderId="2" xfId="0" applyFont="1" applyBorder="1"/>
    <xf numFmtId="165" fontId="0" fillId="0" borderId="0" xfId="0" applyNumberFormat="1"/>
    <xf numFmtId="0" fontId="5" fillId="0" borderId="0" xfId="0" applyFont="1"/>
    <xf numFmtId="0" fontId="6" fillId="0" borderId="2" xfId="0" applyFont="1" applyBorder="1" applyAlignment="1">
      <alignment horizontal="left"/>
    </xf>
    <xf numFmtId="0" fontId="0" fillId="0" borderId="5" xfId="0" applyBorder="1"/>
    <xf numFmtId="0" fontId="5" fillId="0" borderId="2" xfId="0" quotePrefix="1" applyFont="1" applyBorder="1"/>
    <xf numFmtId="0" fontId="0" fillId="0" borderId="6" xfId="0" applyBorder="1"/>
    <xf numFmtId="0" fontId="7" fillId="0" borderId="7" xfId="0" applyFont="1" applyBorder="1"/>
    <xf numFmtId="0" fontId="2" fillId="2" borderId="0" xfId="0" applyFont="1" applyFill="1" applyAlignment="1">
      <alignment horizontal="left" vertical="top"/>
    </xf>
    <xf numFmtId="0" fontId="2" fillId="3" borderId="0" xfId="0" applyFont="1" applyFill="1" applyAlignment="1">
      <alignment horizontal="left" vertical="top"/>
    </xf>
    <xf numFmtId="14" fontId="2" fillId="0" borderId="0" xfId="0" applyNumberFormat="1" applyFont="1"/>
    <xf numFmtId="0" fontId="2" fillId="0" borderId="0" xfId="0" applyFont="1"/>
    <xf numFmtId="0" fontId="0" fillId="0" borderId="4" xfId="0" applyBorder="1"/>
    <xf numFmtId="49" fontId="8" fillId="4" borderId="0" xfId="2" applyNumberFormat="1" applyFont="1" applyFill="1"/>
    <xf numFmtId="49" fontId="4" fillId="0" borderId="0" xfId="2" applyNumberFormat="1"/>
    <xf numFmtId="4" fontId="4" fillId="0" borderId="0" xfId="2" applyNumberFormat="1"/>
    <xf numFmtId="0" fontId="0" fillId="0" borderId="6" xfId="0" quotePrefix="1" applyBorder="1"/>
    <xf numFmtId="0" fontId="0" fillId="0" borderId="2" xfId="0" applyBorder="1"/>
    <xf numFmtId="0" fontId="7" fillId="0" borderId="2" xfId="0" applyFont="1" applyBorder="1"/>
    <xf numFmtId="0" fontId="10" fillId="0" borderId="0" xfId="3" applyFont="1"/>
    <xf numFmtId="0" fontId="0" fillId="0" borderId="0" xfId="0" applyAlignment="1">
      <alignment horizontal="left" vertical="top" wrapText="1"/>
    </xf>
    <xf numFmtId="0" fontId="0" fillId="0" borderId="8" xfId="0" applyBorder="1"/>
    <xf numFmtId="0" fontId="4" fillId="0" borderId="0" xfId="0" applyFont="1" applyAlignment="1">
      <alignment horizontal="right" wrapText="1"/>
    </xf>
    <xf numFmtId="0" fontId="0" fillId="0" borderId="1" xfId="0" applyBorder="1" applyAlignment="1">
      <alignment horizontal="right"/>
    </xf>
    <xf numFmtId="0" fontId="0" fillId="0" borderId="0" xfId="0" quotePrefix="1"/>
    <xf numFmtId="0" fontId="0" fillId="0" borderId="0" xfId="0" applyAlignment="1">
      <alignment horizontal="left" vertical="top"/>
    </xf>
    <xf numFmtId="0" fontId="0" fillId="0" borderId="0" xfId="0" applyAlignment="1">
      <alignment horizontal="center"/>
    </xf>
    <xf numFmtId="0" fontId="12" fillId="0" borderId="2" xfId="0" applyFont="1" applyBorder="1"/>
    <xf numFmtId="0" fontId="13" fillId="5" borderId="2" xfId="0" applyFont="1" applyFill="1" applyBorder="1"/>
    <xf numFmtId="165" fontId="11" fillId="5" borderId="0" xfId="0" applyNumberFormat="1" applyFont="1" applyFill="1"/>
    <xf numFmtId="165" fontId="11" fillId="5" borderId="5" xfId="0" applyNumberFormat="1" applyFont="1" applyFill="1" applyBorder="1"/>
    <xf numFmtId="164" fontId="0" fillId="0" borderId="5" xfId="0" applyNumberFormat="1" applyBorder="1"/>
    <xf numFmtId="0" fontId="12" fillId="0" borderId="9" xfId="0" applyFont="1" applyBorder="1"/>
    <xf numFmtId="164" fontId="0" fillId="0" borderId="4" xfId="0" applyNumberFormat="1" applyBorder="1"/>
    <xf numFmtId="164" fontId="0" fillId="0" borderId="3" xfId="0" applyNumberFormat="1" applyBorder="1"/>
    <xf numFmtId="0" fontId="0" fillId="6" borderId="0" xfId="0" applyFill="1"/>
    <xf numFmtId="14" fontId="0" fillId="6" borderId="0" xfId="0" applyNumberFormat="1" applyFill="1"/>
    <xf numFmtId="2" fontId="0" fillId="6" borderId="0" xfId="0" applyNumberFormat="1" applyFill="1"/>
    <xf numFmtId="165" fontId="0" fillId="6" borderId="0" xfId="0" applyNumberFormat="1" applyFill="1"/>
    <xf numFmtId="0" fontId="2" fillId="6" borderId="0" xfId="0" applyFont="1" applyFill="1" applyAlignment="1">
      <alignment horizontal="left" vertical="top"/>
    </xf>
    <xf numFmtId="0" fontId="4" fillId="6" borderId="0" xfId="0" applyFont="1" applyFill="1" applyAlignment="1">
      <alignment horizontal="left" vertical="top" wrapText="1"/>
    </xf>
    <xf numFmtId="0" fontId="0" fillId="0" borderId="1" xfId="0" applyBorder="1" applyAlignment="1">
      <alignment horizontal="center"/>
    </xf>
    <xf numFmtId="0" fontId="4" fillId="0" borderId="0" xfId="0" applyFont="1" applyAlignment="1">
      <alignment horizontal="center" wrapText="1"/>
    </xf>
    <xf numFmtId="0" fontId="14" fillId="0" borderId="0" xfId="0" applyFont="1"/>
    <xf numFmtId="17" fontId="0" fillId="0" borderId="1" xfId="0" applyNumberFormat="1" applyBorder="1" applyAlignment="1">
      <alignment horizontal="center"/>
    </xf>
    <xf numFmtId="0" fontId="0" fillId="6" borderId="0" xfId="0" applyFill="1" applyAlignment="1">
      <alignment horizontal="right"/>
    </xf>
    <xf numFmtId="2" fontId="0" fillId="0" borderId="0" xfId="0" applyNumberFormat="1"/>
    <xf numFmtId="14" fontId="0" fillId="0" borderId="0" xfId="0" applyNumberFormat="1" applyAlignment="1">
      <alignment horizontal="center"/>
    </xf>
    <xf numFmtId="165" fontId="0" fillId="0" borderId="5" xfId="0" applyNumberFormat="1" applyBorder="1"/>
    <xf numFmtId="0" fontId="5" fillId="0" borderId="10" xfId="0" applyFont="1" applyBorder="1"/>
    <xf numFmtId="14" fontId="2" fillId="0" borderId="11" xfId="0" applyNumberFormat="1" applyFont="1" applyBorder="1" applyAlignment="1">
      <alignment horizontal="right"/>
    </xf>
    <xf numFmtId="14" fontId="2" fillId="0" borderId="12" xfId="0" applyNumberFormat="1" applyFont="1" applyBorder="1" applyAlignment="1">
      <alignment horizontal="right"/>
    </xf>
    <xf numFmtId="0" fontId="0" fillId="0" borderId="0" xfId="0" applyAlignment="1">
      <alignment horizontal="right"/>
    </xf>
    <xf numFmtId="0" fontId="0" fillId="0" borderId="5" xfId="0" applyBorder="1" applyAlignment="1">
      <alignment horizontal="right"/>
    </xf>
    <xf numFmtId="1" fontId="0" fillId="0" borderId="0" xfId="0" applyNumberFormat="1" applyAlignment="1">
      <alignment horizontal="right"/>
    </xf>
    <xf numFmtId="0" fontId="2" fillId="7" borderId="0" xfId="0" applyFont="1" applyFill="1" applyAlignment="1">
      <alignment horizontal="left" vertical="top"/>
    </xf>
    <xf numFmtId="14" fontId="0" fillId="7" borderId="0" xfId="0" applyNumberFormat="1" applyFill="1" applyAlignment="1">
      <alignment horizontal="center"/>
    </xf>
    <xf numFmtId="10" fontId="4" fillId="7" borderId="0" xfId="0" applyNumberFormat="1" applyFont="1" applyFill="1" applyAlignment="1">
      <alignment horizontal="left" vertical="top" wrapText="1"/>
    </xf>
    <xf numFmtId="0" fontId="15" fillId="7" borderId="0" xfId="0" applyFont="1" applyFill="1"/>
    <xf numFmtId="0" fontId="0" fillId="7" borderId="0" xfId="0" applyFill="1"/>
    <xf numFmtId="0" fontId="12" fillId="0" borderId="7" xfId="0" applyFont="1" applyBorder="1"/>
    <xf numFmtId="165" fontId="0" fillId="0" borderId="6" xfId="0" applyNumberFormat="1" applyBorder="1"/>
    <xf numFmtId="165" fontId="0" fillId="0" borderId="8" xfId="0" applyNumberFormat="1" applyBorder="1"/>
    <xf numFmtId="0" fontId="0" fillId="3" borderId="0" xfId="0" applyFill="1" applyAlignment="1">
      <alignment horizontal="center"/>
    </xf>
    <xf numFmtId="1" fontId="0" fillId="3" borderId="0" xfId="0" applyNumberFormat="1" applyFill="1" applyAlignment="1">
      <alignment horizontal="center"/>
    </xf>
    <xf numFmtId="2" fontId="4" fillId="0" borderId="0" xfId="0" applyNumberFormat="1" applyFont="1" applyAlignment="1">
      <alignment horizontal="center" wrapText="1"/>
    </xf>
    <xf numFmtId="44" fontId="0" fillId="0" borderId="0" xfId="0" applyNumberFormat="1"/>
    <xf numFmtId="0" fontId="2" fillId="0" borderId="1" xfId="0" applyFont="1" applyBorder="1" applyAlignment="1">
      <alignment horizontal="center"/>
    </xf>
    <xf numFmtId="0" fontId="0" fillId="0" borderId="0" xfId="0" applyAlignment="1">
      <alignment horizontal="left" vertical="top" wrapText="1"/>
    </xf>
    <xf numFmtId="0" fontId="0" fillId="0" borderId="0" xfId="0" applyAlignment="1">
      <alignment horizontal="center"/>
    </xf>
  </cellXfs>
  <cellStyles count="4">
    <cellStyle name="Link" xfId="3" builtinId="8"/>
    <cellStyle name="Normal" xfId="0" builtinId="0"/>
    <cellStyle name="Normal_Ark1" xfId="2" xr:uid="{00000000-0005-0000-0000-000002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B46" sqref="B46"/>
    </sheetView>
  </sheetViews>
  <sheetFormatPr defaultRowHeight="15" x14ac:dyDescent="0.25"/>
  <cols>
    <col min="1" max="1" width="16.5703125" bestFit="1" customWidth="1"/>
    <col min="2" max="2" width="25.85546875" customWidth="1"/>
    <col min="3" max="3" width="19.42578125" bestFit="1" customWidth="1"/>
  </cols>
  <sheetData>
    <row r="1" spans="1:3" x14ac:dyDescent="0.25">
      <c r="A1" s="21" t="s">
        <v>27</v>
      </c>
      <c r="B1" s="21" t="s">
        <v>28</v>
      </c>
      <c r="C1" s="21" t="s">
        <v>29</v>
      </c>
    </row>
    <row r="2" spans="1:3" x14ac:dyDescent="0.25">
      <c r="A2" s="22" t="s">
        <v>30</v>
      </c>
      <c r="B2" s="22" t="s">
        <v>23</v>
      </c>
      <c r="C2" s="23">
        <v>1924</v>
      </c>
    </row>
    <row r="3" spans="1:3" x14ac:dyDescent="0.25">
      <c r="A3" s="22" t="s">
        <v>31</v>
      </c>
      <c r="B3" s="22" t="s">
        <v>32</v>
      </c>
      <c r="C3" s="23">
        <v>760</v>
      </c>
    </row>
    <row r="4" spans="1:3" x14ac:dyDescent="0.25">
      <c r="A4" s="22" t="s">
        <v>33</v>
      </c>
      <c r="B4" s="22" t="s">
        <v>34</v>
      </c>
      <c r="C4" s="23">
        <v>332.16</v>
      </c>
    </row>
    <row r="5" spans="1:3" x14ac:dyDescent="0.25">
      <c r="A5" s="22"/>
      <c r="B5" s="22"/>
      <c r="C5"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showGridLines="0" tabSelected="1" zoomScaleNormal="100" zoomScaleSheetLayoutView="100" workbookViewId="0">
      <selection activeCell="B13" sqref="B13"/>
    </sheetView>
  </sheetViews>
  <sheetFormatPr defaultRowHeight="15" x14ac:dyDescent="0.25"/>
  <cols>
    <col min="1" max="1" width="37.42578125" customWidth="1"/>
    <col min="2" max="2" width="19.85546875" bestFit="1" customWidth="1"/>
    <col min="3" max="9" width="13" customWidth="1"/>
    <col min="10" max="10" width="11" bestFit="1" customWidth="1"/>
    <col min="11" max="11" width="12.5703125" bestFit="1" customWidth="1"/>
    <col min="12" max="12" width="9" bestFit="1" customWidth="1"/>
    <col min="13" max="14" width="11" bestFit="1" customWidth="1"/>
  </cols>
  <sheetData>
    <row r="1" spans="1:10" x14ac:dyDescent="0.25">
      <c r="H1" s="19" t="s">
        <v>26</v>
      </c>
      <c r="I1" s="18">
        <v>45246</v>
      </c>
    </row>
    <row r="2" spans="1:10" x14ac:dyDescent="0.25">
      <c r="A2" s="47" t="s">
        <v>36</v>
      </c>
      <c r="B2" s="48"/>
      <c r="C2" s="43"/>
      <c r="D2" s="43"/>
      <c r="E2" s="43"/>
    </row>
    <row r="3" spans="1:10" x14ac:dyDescent="0.25">
      <c r="A3" s="17" t="s">
        <v>25</v>
      </c>
      <c r="B3" s="16"/>
      <c r="C3" s="16"/>
      <c r="D3" s="16"/>
      <c r="E3" s="16"/>
    </row>
    <row r="4" spans="1:10" ht="15.75" thickBot="1" x14ac:dyDescent="0.3">
      <c r="A4" s="3"/>
      <c r="B4" s="3"/>
      <c r="C4" s="3"/>
      <c r="D4" s="3"/>
      <c r="E4" s="20"/>
      <c r="F4" s="20"/>
      <c r="G4" s="20"/>
    </row>
    <row r="5" spans="1:10" ht="26.25" x14ac:dyDescent="0.4">
      <c r="A5" s="15" t="s">
        <v>50</v>
      </c>
      <c r="B5" s="14"/>
      <c r="C5" s="14"/>
      <c r="D5" s="14"/>
      <c r="E5" s="14"/>
      <c r="F5" s="24" t="s">
        <v>49</v>
      </c>
      <c r="G5" s="24"/>
      <c r="H5" s="14"/>
      <c r="I5" s="29"/>
    </row>
    <row r="6" spans="1:10" ht="21.75" customHeight="1" x14ac:dyDescent="0.25">
      <c r="A6" s="25"/>
      <c r="G6" s="10"/>
      <c r="I6" s="12"/>
    </row>
    <row r="7" spans="1:10" ht="15.75" x14ac:dyDescent="0.25">
      <c r="A7" s="13" t="s">
        <v>24</v>
      </c>
      <c r="B7" s="53" t="s">
        <v>23</v>
      </c>
      <c r="I7" s="12"/>
    </row>
    <row r="8" spans="1:10" ht="15.75" x14ac:dyDescent="0.25">
      <c r="A8" s="13" t="s">
        <v>22</v>
      </c>
      <c r="B8" s="44">
        <v>44927</v>
      </c>
      <c r="I8" s="12"/>
    </row>
    <row r="9" spans="1:10" ht="15" customHeight="1" x14ac:dyDescent="0.4">
      <c r="A9" s="26"/>
      <c r="I9" s="12"/>
    </row>
    <row r="10" spans="1:10" ht="15.75" x14ac:dyDescent="0.25">
      <c r="A10" s="13" t="s">
        <v>21</v>
      </c>
      <c r="B10" s="43"/>
      <c r="E10" s="71" t="s">
        <v>20</v>
      </c>
      <c r="F10" s="71" t="s">
        <v>19</v>
      </c>
      <c r="I10" s="12"/>
      <c r="J10" s="32"/>
    </row>
    <row r="11" spans="1:10" ht="15.75" x14ac:dyDescent="0.25">
      <c r="A11" s="8" t="s">
        <v>18</v>
      </c>
      <c r="B11" s="45">
        <v>1</v>
      </c>
      <c r="C11" t="s">
        <v>17</v>
      </c>
      <c r="E11" s="72">
        <f>B11*VLOOKUP(B7,Normtid!$B$2:$C$4,2,0)</f>
        <v>1924</v>
      </c>
      <c r="F11" s="71">
        <f>ROUND(E11/12,2)</f>
        <v>160.33000000000001</v>
      </c>
      <c r="I11" s="12"/>
    </row>
    <row r="12" spans="1:10" ht="15.75" x14ac:dyDescent="0.25">
      <c r="A12" s="8"/>
      <c r="G12" s="5"/>
      <c r="I12" s="12"/>
    </row>
    <row r="13" spans="1:10" ht="15.75" x14ac:dyDescent="0.25">
      <c r="A13" s="8" t="s">
        <v>16</v>
      </c>
      <c r="B13" s="46">
        <v>40000</v>
      </c>
      <c r="G13" s="5"/>
      <c r="I13" s="12"/>
    </row>
    <row r="14" spans="1:10" ht="15.75" x14ac:dyDescent="0.25">
      <c r="A14" s="11" t="s">
        <v>15</v>
      </c>
      <c r="G14" s="5"/>
      <c r="I14" s="12"/>
    </row>
    <row r="15" spans="1:10" ht="15.75" x14ac:dyDescent="0.25">
      <c r="A15" s="8" t="s">
        <v>14</v>
      </c>
      <c r="B15" s="46"/>
      <c r="G15" s="5"/>
      <c r="I15" s="12"/>
    </row>
    <row r="16" spans="1:10" ht="15.75" x14ac:dyDescent="0.25">
      <c r="A16" s="8" t="s">
        <v>13</v>
      </c>
      <c r="B16" s="46"/>
      <c r="G16" s="5"/>
      <c r="I16" s="12"/>
    </row>
    <row r="17" spans="1:11" ht="15.75" x14ac:dyDescent="0.25">
      <c r="A17" s="8" t="s">
        <v>12</v>
      </c>
      <c r="B17" s="46"/>
      <c r="G17" s="5"/>
      <c r="I17" s="12"/>
    </row>
    <row r="18" spans="1:11" ht="15.75" x14ac:dyDescent="0.25">
      <c r="A18" s="8"/>
      <c r="G18" s="5"/>
      <c r="I18" s="12"/>
    </row>
    <row r="19" spans="1:11" ht="15.75" x14ac:dyDescent="0.25">
      <c r="A19" s="8" t="s">
        <v>53</v>
      </c>
      <c r="B19" s="43">
        <v>189.34</v>
      </c>
      <c r="C19" s="10" t="s">
        <v>11</v>
      </c>
      <c r="D19" s="10"/>
      <c r="I19" s="12"/>
    </row>
    <row r="20" spans="1:11" ht="15.75" x14ac:dyDescent="0.25">
      <c r="A20" s="8"/>
      <c r="G20" s="5"/>
      <c r="I20" s="12"/>
    </row>
    <row r="21" spans="1:11" ht="15.75" x14ac:dyDescent="0.25">
      <c r="A21" s="8" t="s">
        <v>10</v>
      </c>
      <c r="B21" s="9">
        <f>SUM(B13:B19)</f>
        <v>40189.339999999997</v>
      </c>
      <c r="G21" s="5"/>
      <c r="I21" s="12"/>
    </row>
    <row r="22" spans="1:11" ht="16.5" thickBot="1" x14ac:dyDescent="0.3">
      <c r="A22" s="8"/>
      <c r="B22" s="9"/>
      <c r="G22" s="5"/>
      <c r="I22" s="12"/>
    </row>
    <row r="23" spans="1:11" ht="16.5" thickBot="1" x14ac:dyDescent="0.3">
      <c r="A23" s="57"/>
      <c r="B23" s="58">
        <f>IF(B8=B39,B39,B8)</f>
        <v>44927</v>
      </c>
      <c r="C23" s="58">
        <f>IF(B23&lt;$B$39,$B$39,IF(B23&lt;$B$40,$B$40,IF(B23&lt;$B$41,$B$41,IF(B23&lt;$B$42,$B$42,IF(B23&lt;$B$43,$B$43,IF(B23&lt;$B$44,$B$44,IF(B23&lt;$B$45,$B$45,"")))))))</f>
        <v>45017</v>
      </c>
      <c r="D23" s="58">
        <f t="shared" ref="D23:I23" si="0">IF(C23&lt;$B$39,$B$39,IF(C23&lt;$B$40,$B$40,IF(C23&lt;$B$41,$B$41,IF(C23&lt;$B$42,$B$42,IF(C23&lt;$B$43,$B$43,IF(C23&lt;$B$44,$B$44,IF(C23&lt;$B$45,$B$45,"")))))))</f>
        <v>45200</v>
      </c>
      <c r="E23" s="58">
        <f t="shared" si="0"/>
        <v>45383</v>
      </c>
      <c r="F23" s="58">
        <f t="shared" si="0"/>
        <v>45748</v>
      </c>
      <c r="G23" s="58">
        <f t="shared" si="0"/>
        <v>46113</v>
      </c>
      <c r="H23" s="58">
        <f t="shared" si="0"/>
        <v>46478</v>
      </c>
      <c r="I23" s="59">
        <f t="shared" si="0"/>
        <v>46844</v>
      </c>
    </row>
    <row r="24" spans="1:11" ht="15.75" x14ac:dyDescent="0.25">
      <c r="A24" s="68" t="s">
        <v>9</v>
      </c>
      <c r="B24" s="69">
        <f>$B$21/$F$11</f>
        <v>250.6663756003243</v>
      </c>
      <c r="C24" s="69">
        <f t="shared" ref="C24" si="1">IFERROR(B24*(1+VLOOKUP(C23,$B$39:$C$47,2,FALSE)),0)</f>
        <v>254.62690433480944</v>
      </c>
      <c r="D24" s="69">
        <f t="shared" ref="D24:I24" si="2">IFERROR(C24*(1+VLOOKUP(D23,$B$39:$C$47,2,FALSE)),0)</f>
        <v>255.46717311911434</v>
      </c>
      <c r="E24" s="69">
        <f t="shared" si="2"/>
        <v>267.21866308259359</v>
      </c>
      <c r="F24" s="69">
        <f t="shared" si="2"/>
        <v>274.96800431198881</v>
      </c>
      <c r="G24" s="69">
        <f t="shared" si="2"/>
        <v>281.84220441978852</v>
      </c>
      <c r="H24" s="69">
        <f t="shared" si="2"/>
        <v>287.47904850818429</v>
      </c>
      <c r="I24" s="70">
        <f t="shared" si="2"/>
        <v>293.22862947834795</v>
      </c>
    </row>
    <row r="25" spans="1:11" ht="15.75" x14ac:dyDescent="0.25">
      <c r="A25" s="36" t="s">
        <v>8</v>
      </c>
      <c r="B25" s="37">
        <f>IF(B24=0,0,B24*$B$36+$B$37)</f>
        <v>261.79303499033239</v>
      </c>
      <c r="C25" s="37">
        <f>IF(C24=0,0,C24*$B$36+$B$37)</f>
        <v>265.85257694317966</v>
      </c>
      <c r="D25" s="37">
        <f>IF(D24=0,0,D24*$B$36+$B$37)</f>
        <v>266.71385244709217</v>
      </c>
      <c r="E25" s="37">
        <f>IF(E24=0,0,E24*$B$36+$B$37)</f>
        <v>278.75912965965841</v>
      </c>
      <c r="F25" s="37">
        <f t="shared" ref="F25:I25" si="3">IF(F24=0,0,F24*$B$36+$B$37)</f>
        <v>286.70220441978853</v>
      </c>
      <c r="G25" s="37">
        <f t="shared" si="3"/>
        <v>293.74825953028324</v>
      </c>
      <c r="H25" s="37">
        <f t="shared" si="3"/>
        <v>299.52602472088887</v>
      </c>
      <c r="I25" s="37">
        <f t="shared" si="3"/>
        <v>305.41934521530663</v>
      </c>
      <c r="J25" s="7"/>
      <c r="K25" s="7"/>
    </row>
    <row r="26" spans="1:11" ht="15.75" x14ac:dyDescent="0.25">
      <c r="A26" s="35" t="s">
        <v>7</v>
      </c>
      <c r="B26" s="6">
        <f t="shared" ref="B26:I26" si="4">B25*$F$11</f>
        <v>41973.277299999994</v>
      </c>
      <c r="C26" s="6">
        <f t="shared" si="4"/>
        <v>42624.143661299997</v>
      </c>
      <c r="D26" s="6">
        <f t="shared" si="4"/>
        <v>42762.231962842292</v>
      </c>
      <c r="E26" s="6">
        <f t="shared" si="4"/>
        <v>44693.451258333036</v>
      </c>
      <c r="F26" s="6">
        <f t="shared" si="4"/>
        <v>45966.964434624701</v>
      </c>
      <c r="G26" s="6">
        <f t="shared" si="4"/>
        <v>47096.658450490315</v>
      </c>
      <c r="H26" s="6">
        <f t="shared" si="4"/>
        <v>48023.007543500113</v>
      </c>
      <c r="I26" s="39">
        <f t="shared" si="4"/>
        <v>48967.883618370113</v>
      </c>
      <c r="J26" s="7"/>
      <c r="K26" s="7"/>
    </row>
    <row r="27" spans="1:11" ht="16.5" thickBot="1" x14ac:dyDescent="0.3">
      <c r="A27" s="40" t="s">
        <v>6</v>
      </c>
      <c r="B27" s="41">
        <f t="shared" ref="B27:I27" si="5">ROUNDUP(B25*$F$11,-2)</f>
        <v>42000</v>
      </c>
      <c r="C27" s="41">
        <f t="shared" si="5"/>
        <v>42700</v>
      </c>
      <c r="D27" s="41">
        <f t="shared" si="5"/>
        <v>42800</v>
      </c>
      <c r="E27" s="41">
        <f t="shared" si="5"/>
        <v>44700</v>
      </c>
      <c r="F27" s="41">
        <f t="shared" si="5"/>
        <v>46000</v>
      </c>
      <c r="G27" s="41">
        <f t="shared" si="5"/>
        <v>47100</v>
      </c>
      <c r="H27" s="41">
        <f t="shared" si="5"/>
        <v>48100</v>
      </c>
      <c r="I27" s="42">
        <f t="shared" si="5"/>
        <v>49000</v>
      </c>
    </row>
    <row r="28" spans="1:11" x14ac:dyDescent="0.25">
      <c r="E28" s="3"/>
      <c r="F28" s="5"/>
    </row>
    <row r="29" spans="1:11" x14ac:dyDescent="0.25">
      <c r="B29" s="6"/>
      <c r="E29" s="3"/>
      <c r="F29" s="5"/>
    </row>
    <row r="31" spans="1:11" ht="15.75" x14ac:dyDescent="0.25">
      <c r="A31" s="1" t="s">
        <v>5</v>
      </c>
    </row>
    <row r="32" spans="1:11" x14ac:dyDescent="0.25">
      <c r="A32" t="s">
        <v>4</v>
      </c>
    </row>
    <row r="33" spans="1:10" x14ac:dyDescent="0.25">
      <c r="D33" s="75" t="s">
        <v>35</v>
      </c>
      <c r="E33" s="75"/>
      <c r="F33" s="75"/>
      <c r="G33" s="75"/>
      <c r="H33" s="75"/>
      <c r="I33" s="75"/>
    </row>
    <row r="34" spans="1:10" x14ac:dyDescent="0.25">
      <c r="E34" s="34"/>
      <c r="F34" s="34"/>
      <c r="G34" s="34"/>
      <c r="H34" s="34"/>
      <c r="I34" s="34"/>
    </row>
    <row r="35" spans="1:10" x14ac:dyDescent="0.25">
      <c r="B35" s="31">
        <v>2023</v>
      </c>
      <c r="C35" s="51" t="s">
        <v>0</v>
      </c>
      <c r="D35" s="49">
        <v>2022</v>
      </c>
      <c r="E35" s="49">
        <v>2021</v>
      </c>
      <c r="F35" s="52">
        <v>44075</v>
      </c>
      <c r="G35" s="49">
        <v>2020</v>
      </c>
      <c r="H35" s="49">
        <v>2019</v>
      </c>
      <c r="I35" s="49">
        <v>2018</v>
      </c>
      <c r="J35" s="27"/>
    </row>
    <row r="36" spans="1:10" x14ac:dyDescent="0.25">
      <c r="A36" s="3" t="s">
        <v>3</v>
      </c>
      <c r="B36" s="30">
        <v>1.0249999999999999</v>
      </c>
      <c r="D36" s="50">
        <v>1.02</v>
      </c>
      <c r="E36" s="50">
        <v>1.02</v>
      </c>
      <c r="F36" s="34">
        <v>1.02</v>
      </c>
      <c r="G36" s="34">
        <v>1.03</v>
      </c>
      <c r="H36" s="50">
        <v>1.03</v>
      </c>
      <c r="I36" s="50">
        <v>1.03</v>
      </c>
    </row>
    <row r="37" spans="1:10" x14ac:dyDescent="0.25">
      <c r="A37" s="3" t="s">
        <v>2</v>
      </c>
      <c r="B37" s="30">
        <v>4.8600000000000003</v>
      </c>
      <c r="D37" s="50">
        <v>4.8600000000000003</v>
      </c>
      <c r="E37" s="50">
        <v>4.6500000000000004</v>
      </c>
      <c r="F37" s="34">
        <v>4.47</v>
      </c>
      <c r="G37" s="34">
        <v>4.47</v>
      </c>
      <c r="H37" s="50">
        <v>4.54</v>
      </c>
      <c r="I37" s="50">
        <v>4.37</v>
      </c>
    </row>
    <row r="38" spans="1:10" x14ac:dyDescent="0.25">
      <c r="A38" s="3"/>
      <c r="B38" s="30"/>
      <c r="D38" s="34"/>
      <c r="E38" s="34"/>
      <c r="F38" s="50"/>
      <c r="G38" s="50"/>
      <c r="H38" s="50"/>
      <c r="I38" s="50"/>
    </row>
    <row r="39" spans="1:10" x14ac:dyDescent="0.25">
      <c r="A39" s="3" t="s">
        <v>1</v>
      </c>
      <c r="B39" s="4">
        <v>45017</v>
      </c>
      <c r="C39" s="2">
        <v>1.5800000000000002E-2</v>
      </c>
      <c r="D39" t="s">
        <v>48</v>
      </c>
    </row>
    <row r="40" spans="1:10" x14ac:dyDescent="0.25">
      <c r="A40" s="3" t="s">
        <v>1</v>
      </c>
      <c r="B40" s="4">
        <v>45200</v>
      </c>
      <c r="C40" s="2">
        <v>3.3E-3</v>
      </c>
      <c r="D40" t="s">
        <v>37</v>
      </c>
    </row>
    <row r="41" spans="1:10" x14ac:dyDescent="0.25">
      <c r="A41" s="3" t="s">
        <v>1</v>
      </c>
      <c r="B41" s="4">
        <v>45383</v>
      </c>
      <c r="C41" s="2">
        <v>4.5999999999999999E-2</v>
      </c>
      <c r="D41" t="s">
        <v>38</v>
      </c>
    </row>
    <row r="42" spans="1:10" x14ac:dyDescent="0.25">
      <c r="A42" s="3" t="s">
        <v>1</v>
      </c>
      <c r="B42" s="4">
        <v>45748</v>
      </c>
      <c r="C42" s="2">
        <v>2.9000000000000001E-2</v>
      </c>
      <c r="D42" t="s">
        <v>38</v>
      </c>
    </row>
    <row r="43" spans="1:10" x14ac:dyDescent="0.25">
      <c r="A43" s="3" t="s">
        <v>1</v>
      </c>
      <c r="B43" s="4">
        <v>46113</v>
      </c>
      <c r="C43" s="2">
        <v>2.5000000000000001E-2</v>
      </c>
      <c r="D43" t="s">
        <v>38</v>
      </c>
    </row>
    <row r="44" spans="1:10" x14ac:dyDescent="0.25">
      <c r="A44" s="3" t="s">
        <v>1</v>
      </c>
      <c r="B44" s="4">
        <v>46478</v>
      </c>
      <c r="C44" s="2">
        <v>0.02</v>
      </c>
      <c r="D44" t="s">
        <v>38</v>
      </c>
    </row>
    <row r="45" spans="1:10" x14ac:dyDescent="0.25">
      <c r="A45" s="3" t="s">
        <v>1</v>
      </c>
      <c r="B45" s="4">
        <v>46844</v>
      </c>
      <c r="C45" s="2">
        <v>0.02</v>
      </c>
      <c r="D45" t="s">
        <v>38</v>
      </c>
    </row>
    <row r="46" spans="1:10" x14ac:dyDescent="0.25">
      <c r="A46" s="3"/>
      <c r="B46" s="28"/>
      <c r="C46" s="28"/>
    </row>
    <row r="47" spans="1:10" ht="15.75" x14ac:dyDescent="0.25">
      <c r="A47" s="1" t="s">
        <v>0</v>
      </c>
      <c r="B47" s="28"/>
      <c r="C47" s="28"/>
    </row>
    <row r="48" spans="1:10" ht="15" customHeight="1" x14ac:dyDescent="0.25">
      <c r="A48" s="76" t="s">
        <v>40</v>
      </c>
      <c r="B48" s="76"/>
      <c r="C48" s="76"/>
      <c r="D48" s="76"/>
      <c r="E48" s="76"/>
      <c r="F48" s="76"/>
      <c r="G48" s="76"/>
      <c r="H48" s="76"/>
      <c r="I48" s="76"/>
    </row>
    <row r="49" spans="1:9" ht="15" customHeight="1" x14ac:dyDescent="0.25">
      <c r="A49" s="76"/>
      <c r="B49" s="76"/>
      <c r="C49" s="76"/>
      <c r="D49" s="76"/>
      <c r="E49" s="76"/>
      <c r="F49" s="76"/>
      <c r="G49" s="76"/>
      <c r="H49" s="76"/>
      <c r="I49" s="76"/>
    </row>
    <row r="50" spans="1:9" x14ac:dyDescent="0.25">
      <c r="A50" s="33"/>
      <c r="D50" s="28"/>
      <c r="E50" s="28"/>
    </row>
    <row r="51" spans="1:9" x14ac:dyDescent="0.25">
      <c r="A51" s="28"/>
      <c r="D51" s="28"/>
      <c r="E51" s="28"/>
    </row>
  </sheetData>
  <protectedRanges>
    <protectedRange sqref="B19 B8 B10:B17" name="kostpris"/>
  </protectedRanges>
  <mergeCells count="2">
    <mergeCell ref="D33:I33"/>
    <mergeCell ref="A48:I49"/>
  </mergeCells>
  <dataValidations count="1">
    <dataValidation type="date" allowBlank="1" showInputMessage="1" showErrorMessage="1" error="Du skal indtaste en dato" sqref="B8" xr:uid="{00000000-0002-0000-0100-000000000000}">
      <formula1>44197</formula1>
      <formula2>47849</formula2>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Normtid!$B$2:$B$4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9"/>
  <sheetViews>
    <sheetView showGridLines="0" zoomScaleNormal="100" zoomScaleSheetLayoutView="100" workbookViewId="0">
      <selection activeCell="B9" sqref="B9"/>
    </sheetView>
  </sheetViews>
  <sheetFormatPr defaultRowHeight="15" x14ac:dyDescent="0.25"/>
  <cols>
    <col min="1" max="1" width="37.42578125" customWidth="1"/>
    <col min="2" max="2" width="16.7109375" customWidth="1"/>
    <col min="3" max="6" width="14.5703125" customWidth="1"/>
    <col min="7" max="7" width="10.28515625" customWidth="1"/>
    <col min="8" max="8" width="11" bestFit="1" customWidth="1"/>
    <col min="9" max="9" width="12.5703125" bestFit="1" customWidth="1"/>
    <col min="10" max="10" width="9" bestFit="1" customWidth="1"/>
    <col min="11" max="12" width="11" bestFit="1" customWidth="1"/>
  </cols>
  <sheetData>
    <row r="1" spans="1:8" x14ac:dyDescent="0.25">
      <c r="E1" s="19" t="s">
        <v>26</v>
      </c>
      <c r="F1" s="18">
        <f>'Beregning allokering 2023'!I1</f>
        <v>45246</v>
      </c>
    </row>
    <row r="2" spans="1:8" x14ac:dyDescent="0.25">
      <c r="A2" s="47" t="s">
        <v>36</v>
      </c>
      <c r="B2" s="48"/>
      <c r="C2" s="43"/>
      <c r="D2" s="43"/>
      <c r="E2" s="47"/>
    </row>
    <row r="3" spans="1:8" ht="15.75" thickBot="1" x14ac:dyDescent="0.3">
      <c r="A3" s="3"/>
      <c r="B3" s="3"/>
      <c r="C3" s="3"/>
      <c r="D3" s="3"/>
      <c r="E3" s="20"/>
    </row>
    <row r="4" spans="1:8" ht="26.25" x14ac:dyDescent="0.4">
      <c r="A4" s="15" t="s">
        <v>50</v>
      </c>
      <c r="B4" s="14"/>
      <c r="C4" s="14"/>
      <c r="D4" s="14"/>
      <c r="E4" s="24"/>
      <c r="F4" s="29"/>
    </row>
    <row r="5" spans="1:8" ht="21.75" customHeight="1" x14ac:dyDescent="0.25">
      <c r="A5" s="25"/>
      <c r="E5" s="10"/>
      <c r="F5" s="12"/>
    </row>
    <row r="6" spans="1:8" ht="15.75" x14ac:dyDescent="0.25">
      <c r="A6" s="13" t="s">
        <v>22</v>
      </c>
      <c r="B6" s="44">
        <v>44927</v>
      </c>
      <c r="F6" s="12"/>
    </row>
    <row r="7" spans="1:8" ht="15" customHeight="1" x14ac:dyDescent="0.4">
      <c r="A7" s="26"/>
      <c r="F7" s="12"/>
    </row>
    <row r="8" spans="1:8" ht="15.75" x14ac:dyDescent="0.25">
      <c r="A8" s="13" t="s">
        <v>21</v>
      </c>
      <c r="B8" s="43"/>
      <c r="E8" s="60" t="s">
        <v>20</v>
      </c>
      <c r="F8" s="61" t="s">
        <v>19</v>
      </c>
      <c r="H8" s="32"/>
    </row>
    <row r="9" spans="1:8" ht="15.75" x14ac:dyDescent="0.25">
      <c r="A9" s="8" t="s">
        <v>18</v>
      </c>
      <c r="B9" s="45">
        <v>1</v>
      </c>
      <c r="C9" t="s">
        <v>17</v>
      </c>
      <c r="E9" s="62">
        <f>B9*1460</f>
        <v>1460</v>
      </c>
      <c r="F9" s="61">
        <f>ROUND(E9/12,2)</f>
        <v>121.67</v>
      </c>
    </row>
    <row r="10" spans="1:8" ht="15.75" x14ac:dyDescent="0.25">
      <c r="A10" s="8"/>
      <c r="E10" s="5"/>
      <c r="F10" s="12"/>
    </row>
    <row r="11" spans="1:8" ht="15.75" x14ac:dyDescent="0.25">
      <c r="A11" s="8" t="s">
        <v>16</v>
      </c>
      <c r="B11" s="46">
        <v>40000</v>
      </c>
      <c r="E11" s="5"/>
      <c r="F11" s="12"/>
    </row>
    <row r="12" spans="1:8" ht="15.75" x14ac:dyDescent="0.25">
      <c r="A12" s="11" t="s">
        <v>15</v>
      </c>
      <c r="E12" s="5"/>
      <c r="F12" s="12"/>
    </row>
    <row r="13" spans="1:8" ht="15.75" x14ac:dyDescent="0.25">
      <c r="A13" s="8" t="s">
        <v>14</v>
      </c>
      <c r="B13" s="46"/>
      <c r="E13" s="5"/>
      <c r="F13" s="12"/>
    </row>
    <row r="14" spans="1:8" ht="15.75" x14ac:dyDescent="0.25">
      <c r="A14" s="8" t="s">
        <v>13</v>
      </c>
      <c r="B14" s="46"/>
      <c r="E14" s="5"/>
      <c r="F14" s="12"/>
    </row>
    <row r="15" spans="1:8" ht="15.75" x14ac:dyDescent="0.25">
      <c r="A15" s="8" t="s">
        <v>12</v>
      </c>
      <c r="B15" s="46"/>
      <c r="E15" s="5"/>
      <c r="F15" s="12"/>
    </row>
    <row r="16" spans="1:8" ht="15.75" x14ac:dyDescent="0.25">
      <c r="A16" s="8"/>
      <c r="E16" s="5"/>
      <c r="F16" s="12"/>
    </row>
    <row r="17" spans="1:9" ht="15.75" x14ac:dyDescent="0.25">
      <c r="A17" s="8" t="s">
        <v>53</v>
      </c>
      <c r="B17" s="43">
        <v>189.34</v>
      </c>
      <c r="C17" s="10" t="s">
        <v>11</v>
      </c>
      <c r="D17" s="10"/>
      <c r="F17" s="12"/>
    </row>
    <row r="18" spans="1:9" ht="15.75" x14ac:dyDescent="0.25">
      <c r="A18" s="8"/>
      <c r="E18" s="5"/>
      <c r="F18" s="12"/>
    </row>
    <row r="19" spans="1:9" ht="15.75" x14ac:dyDescent="0.25">
      <c r="A19" s="8" t="s">
        <v>10</v>
      </c>
      <c r="B19" s="9">
        <f>SUM(B11:B17)</f>
        <v>40189.339999999997</v>
      </c>
      <c r="E19" s="5"/>
      <c r="F19" s="12"/>
    </row>
    <row r="20" spans="1:9" ht="16.5" thickBot="1" x14ac:dyDescent="0.3">
      <c r="A20" s="8"/>
      <c r="B20" s="9"/>
      <c r="E20" s="5"/>
      <c r="F20" s="12"/>
    </row>
    <row r="21" spans="1:9" ht="16.5" thickBot="1" x14ac:dyDescent="0.3">
      <c r="A21" s="57"/>
      <c r="B21" s="58">
        <f>B38</f>
        <v>44927</v>
      </c>
      <c r="C21" s="58">
        <f>B39</f>
        <v>45292</v>
      </c>
      <c r="D21" s="58">
        <f>B40</f>
        <v>45658</v>
      </c>
      <c r="E21" s="58">
        <f>B41</f>
        <v>46023</v>
      </c>
      <c r="F21" s="59">
        <f>B42</f>
        <v>46388</v>
      </c>
    </row>
    <row r="22" spans="1:9" ht="15.75" x14ac:dyDescent="0.25">
      <c r="A22" s="35" t="s">
        <v>9</v>
      </c>
      <c r="B22" s="9">
        <f>$B$19/$F$9</f>
        <v>330.31429275910244</v>
      </c>
      <c r="C22" s="9">
        <f>$B$19/$F$9</f>
        <v>330.31429275910244</v>
      </c>
      <c r="D22" s="9">
        <f>$B$19/$F$9</f>
        <v>330.31429275910244</v>
      </c>
      <c r="E22" s="9">
        <f>$B$19/$F$9</f>
        <v>330.31429275910244</v>
      </c>
      <c r="F22" s="56">
        <f>$B$19/$F$9</f>
        <v>330.31429275910244</v>
      </c>
      <c r="H22" s="74"/>
    </row>
    <row r="23" spans="1:9" ht="15.75" x14ac:dyDescent="0.25">
      <c r="A23" s="36" t="s">
        <v>8</v>
      </c>
      <c r="B23" s="37">
        <f>IF($B$6&gt;$B$21,B22*$B$34+$B$35,B22*$B$34*(1+VLOOKUP(B21,$B$38:$C$42,2,FALSE))+$B$35)</f>
        <v>351.04662992191982</v>
      </c>
      <c r="C23" s="37">
        <f>B23*(1+VLOOKUP(C21,$B$38:$C$42,2,FALSE))</f>
        <v>367.19477489832815</v>
      </c>
      <c r="D23" s="37">
        <f>C23*(1+VLOOKUP(D21,$B$38:$C$42,2,FALSE))</f>
        <v>377.84342337037964</v>
      </c>
      <c r="E23" s="37">
        <f>D23*(1+VLOOKUP(E21,$B$38:$C$42,2,FALSE))</f>
        <v>387.28950895463908</v>
      </c>
      <c r="F23" s="38">
        <f>E23*(1+VLOOKUP(F21,$B$38:$C$42,2,FALSE))</f>
        <v>395.03529913373188</v>
      </c>
      <c r="H23" s="7"/>
      <c r="I23" s="7"/>
    </row>
    <row r="24" spans="1:9" ht="15.75" x14ac:dyDescent="0.25">
      <c r="A24" s="35" t="s">
        <v>7</v>
      </c>
      <c r="B24" s="6">
        <f>B23*$F$9</f>
        <v>42711.843462599987</v>
      </c>
      <c r="C24" s="6">
        <f>C23*$F$9</f>
        <v>44676.588261879588</v>
      </c>
      <c r="D24" s="6">
        <f>D23*$F$9</f>
        <v>45972.209321474089</v>
      </c>
      <c r="E24" s="6">
        <f>E23*$F$9</f>
        <v>47121.514554510934</v>
      </c>
      <c r="F24" s="39">
        <f>F23*$F$9</f>
        <v>48063.94484560116</v>
      </c>
      <c r="H24" s="7"/>
      <c r="I24" s="7"/>
    </row>
    <row r="25" spans="1:9" ht="16.5" thickBot="1" x14ac:dyDescent="0.3">
      <c r="A25" s="40" t="s">
        <v>6</v>
      </c>
      <c r="B25" s="41">
        <f>ROUNDUP(B23*$F$9,-2)</f>
        <v>42800</v>
      </c>
      <c r="C25" s="41">
        <f>ROUNDUP(C23*$F$9,-2)</f>
        <v>44700</v>
      </c>
      <c r="D25" s="41">
        <f>ROUNDUP(D23*$F$9,-2)</f>
        <v>46000</v>
      </c>
      <c r="E25" s="41">
        <f>ROUNDUP(E23*$F$9,-2)</f>
        <v>47200</v>
      </c>
      <c r="F25" s="42">
        <f>ROUNDUP(F23*$F$9,-2)</f>
        <v>48100</v>
      </c>
    </row>
    <row r="27" spans="1:9" x14ac:dyDescent="0.25">
      <c r="B27" s="6"/>
      <c r="I27" s="74"/>
    </row>
    <row r="29" spans="1:9" ht="15.75" x14ac:dyDescent="0.25">
      <c r="A29" s="1" t="s">
        <v>5</v>
      </c>
    </row>
    <row r="30" spans="1:9" x14ac:dyDescent="0.25">
      <c r="A30" t="s">
        <v>52</v>
      </c>
      <c r="E30" s="77"/>
      <c r="F30" s="77"/>
      <c r="G30" s="77"/>
    </row>
    <row r="31" spans="1:9" x14ac:dyDescent="0.25">
      <c r="E31" s="34"/>
      <c r="F31" s="34"/>
      <c r="G31" s="34"/>
    </row>
    <row r="32" spans="1:9" x14ac:dyDescent="0.25">
      <c r="C32" s="75" t="s">
        <v>35</v>
      </c>
      <c r="D32" s="75"/>
      <c r="E32" s="75"/>
      <c r="F32" s="75"/>
      <c r="G32" s="75"/>
    </row>
    <row r="33" spans="1:8" x14ac:dyDescent="0.25">
      <c r="B33" s="49" t="s">
        <v>51</v>
      </c>
      <c r="C33" s="49">
        <v>2022</v>
      </c>
      <c r="D33" s="49">
        <v>2021</v>
      </c>
      <c r="E33" s="49">
        <v>2020</v>
      </c>
      <c r="F33" s="49">
        <v>2019</v>
      </c>
      <c r="G33" s="49">
        <v>2018</v>
      </c>
      <c r="H33" s="27"/>
    </row>
    <row r="34" spans="1:8" x14ac:dyDescent="0.25">
      <c r="A34" s="3" t="s">
        <v>3</v>
      </c>
      <c r="B34" s="50">
        <v>1.0129999999999999</v>
      </c>
      <c r="C34" s="50">
        <v>1.0129999999999999</v>
      </c>
      <c r="D34" s="34">
        <v>1.0129999999999999</v>
      </c>
      <c r="E34" s="34">
        <v>1.0129999999999999</v>
      </c>
      <c r="F34" s="34">
        <v>1.0129999999999999</v>
      </c>
      <c r="G34" s="34">
        <v>1.0129999999999999</v>
      </c>
    </row>
    <row r="35" spans="1:8" x14ac:dyDescent="0.25">
      <c r="A35" s="3" t="s">
        <v>2</v>
      </c>
      <c r="B35" s="73">
        <v>6.4</v>
      </c>
      <c r="C35" s="73">
        <v>6.4</v>
      </c>
      <c r="D35" s="34">
        <v>6.13</v>
      </c>
      <c r="E35" s="34">
        <v>5.89</v>
      </c>
      <c r="F35" s="50">
        <v>5.98</v>
      </c>
      <c r="G35" s="50">
        <v>5.76</v>
      </c>
    </row>
    <row r="36" spans="1:8" x14ac:dyDescent="0.25">
      <c r="A36" s="3" t="s">
        <v>46</v>
      </c>
      <c r="B36" s="50">
        <v>1.03</v>
      </c>
      <c r="C36" s="50">
        <v>1.03</v>
      </c>
      <c r="D36" s="34">
        <v>1.0324</v>
      </c>
      <c r="E36" s="34">
        <v>1.0346</v>
      </c>
      <c r="F36" s="50">
        <v>1.0316000000000001</v>
      </c>
      <c r="G36" s="50">
        <v>1.0228999999999999</v>
      </c>
    </row>
    <row r="37" spans="1:8" x14ac:dyDescent="0.25">
      <c r="A37" s="3"/>
      <c r="B37" s="30"/>
      <c r="C37" s="30"/>
      <c r="E37" s="34"/>
      <c r="F37" s="50"/>
      <c r="G37" s="50"/>
    </row>
    <row r="38" spans="1:8" x14ac:dyDescent="0.25">
      <c r="A38" s="63" t="s">
        <v>41</v>
      </c>
      <c r="B38" s="64">
        <v>44927</v>
      </c>
      <c r="C38" s="65">
        <v>0.03</v>
      </c>
      <c r="D38" s="66" t="s">
        <v>47</v>
      </c>
      <c r="E38" s="67"/>
      <c r="F38" s="67"/>
      <c r="G38" s="67"/>
    </row>
    <row r="39" spans="1:8" x14ac:dyDescent="0.25">
      <c r="A39" s="3" t="s">
        <v>42</v>
      </c>
      <c r="B39" s="55">
        <v>45292</v>
      </c>
      <c r="C39" s="2">
        <v>4.5999999999999999E-2</v>
      </c>
      <c r="D39" s="54"/>
    </row>
    <row r="40" spans="1:8" x14ac:dyDescent="0.25">
      <c r="A40" s="3" t="s">
        <v>43</v>
      </c>
      <c r="B40" s="55">
        <v>45658</v>
      </c>
      <c r="C40" s="2">
        <v>2.9000000000000001E-2</v>
      </c>
    </row>
    <row r="41" spans="1:8" x14ac:dyDescent="0.25">
      <c r="A41" s="3" t="s">
        <v>44</v>
      </c>
      <c r="B41" s="55">
        <v>46023</v>
      </c>
      <c r="C41" s="2">
        <v>2.5000000000000001E-2</v>
      </c>
    </row>
    <row r="42" spans="1:8" x14ac:dyDescent="0.25">
      <c r="A42" s="3" t="s">
        <v>45</v>
      </c>
      <c r="B42" s="55">
        <v>46388</v>
      </c>
      <c r="C42" s="2">
        <v>0.02</v>
      </c>
    </row>
    <row r="43" spans="1:8" x14ac:dyDescent="0.25">
      <c r="A43" s="3"/>
      <c r="B43" s="28"/>
      <c r="C43" s="28"/>
    </row>
    <row r="44" spans="1:8" ht="15.75" x14ac:dyDescent="0.25">
      <c r="A44" s="1" t="s">
        <v>0</v>
      </c>
      <c r="B44" s="28"/>
      <c r="C44" s="28"/>
    </row>
    <row r="45" spans="1:8" ht="15" customHeight="1" x14ac:dyDescent="0.25">
      <c r="A45" s="76" t="s">
        <v>39</v>
      </c>
      <c r="B45" s="76"/>
      <c r="C45" s="76"/>
      <c r="D45" s="76"/>
      <c r="E45" s="76"/>
      <c r="F45" s="76"/>
    </row>
    <row r="46" spans="1:8" ht="15" customHeight="1" x14ac:dyDescent="0.25">
      <c r="A46" s="76"/>
      <c r="B46" s="76"/>
      <c r="C46" s="76"/>
      <c r="D46" s="76"/>
      <c r="E46" s="76"/>
      <c r="F46" s="76"/>
    </row>
    <row r="47" spans="1:8" ht="15" customHeight="1" x14ac:dyDescent="0.25">
      <c r="A47" s="76"/>
      <c r="B47" s="76"/>
      <c r="C47" s="76"/>
      <c r="D47" s="76"/>
      <c r="E47" s="76"/>
      <c r="F47" s="76"/>
    </row>
    <row r="48" spans="1:8" x14ac:dyDescent="0.25">
      <c r="A48" s="33"/>
      <c r="D48" s="28"/>
    </row>
    <row r="49" spans="1:4" x14ac:dyDescent="0.25">
      <c r="A49" s="28"/>
      <c r="D49" s="28"/>
    </row>
  </sheetData>
  <protectedRanges>
    <protectedRange sqref="B17 B6 B8:B15" name="kostpris"/>
  </protectedRanges>
  <mergeCells count="3">
    <mergeCell ref="E30:G30"/>
    <mergeCell ref="A45:F47"/>
    <mergeCell ref="C32:G32"/>
  </mergeCells>
  <dataValidations count="1">
    <dataValidation type="date" allowBlank="1" showInputMessage="1" showErrorMessage="1" error="Du skal indtaste en dato" sqref="B6" xr:uid="{00000000-0002-0000-0200-000000000000}">
      <formula1>44197</formula1>
      <formula2>47849</formula2>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Normtid</vt:lpstr>
      <vt:lpstr>Beregning allokering 2023</vt:lpstr>
      <vt:lpstr>Beregning faktisk 2023</vt:lpstr>
      <vt:lpstr>'Beregning allokering 2023'!Udskriftsområde</vt:lpstr>
      <vt:lpstr>'Beregning faktisk 2023'!Udskriftsområde</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Nørgaard</dc:creator>
  <cp:lastModifiedBy>Sara Lentz Jørgensen</cp:lastModifiedBy>
  <dcterms:created xsi:type="dcterms:W3CDTF">2018-09-07T11:36:37Z</dcterms:created>
  <dcterms:modified xsi:type="dcterms:W3CDTF">2023-11-16T07:31:51Z</dcterms:modified>
</cp:coreProperties>
</file>