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enne_projektmappe"/>
  <mc:AlternateContent xmlns:mc="http://schemas.openxmlformats.org/markup-compatibility/2006">
    <mc:Choice Requires="x15">
      <x15ac:absPath xmlns:x15ac="http://schemas.microsoft.com/office/spreadsheetml/2010/11/ac" url="O:\FA_HR\AU HR Data og Digitalisering\Enheden generelt\Arbejdstidsregistering\"/>
    </mc:Choice>
  </mc:AlternateContent>
  <xr:revisionPtr revIDLastSave="0" documentId="13_ncr:1_{4B82958A-3886-4A7C-9490-19A1D427973C}" xr6:coauthVersionLast="47" xr6:coauthVersionMax="47" xr10:uidLastSave="{00000000-0000-0000-0000-000000000000}"/>
  <bookViews>
    <workbookView xWindow="31425" yWindow="1395" windowWidth="21600" windowHeight="11385" tabRatio="809" xr2:uid="{6BDF1949-C92B-4F4D-98DF-DF0EE89F4FE3}"/>
  </bookViews>
  <sheets>
    <sheet name="Masterdata" sheetId="1" r:id="rId1"/>
    <sheet name="January" sheetId="22" r:id="rId2"/>
    <sheet name="February" sheetId="39" r:id="rId3"/>
    <sheet name="March" sheetId="50" r:id="rId4"/>
    <sheet name="April" sheetId="51" r:id="rId5"/>
    <sheet name="May" sheetId="52" r:id="rId6"/>
    <sheet name="June" sheetId="53" r:id="rId7"/>
    <sheet name="July" sheetId="54" r:id="rId8"/>
    <sheet name="August" sheetId="56" r:id="rId9"/>
    <sheet name="September" sheetId="57" r:id="rId10"/>
    <sheet name="October" sheetId="58" r:id="rId11"/>
    <sheet name="November" sheetId="59" r:id="rId12"/>
    <sheet name="December" sheetId="60" r:id="rId13"/>
  </sheets>
  <definedNames>
    <definedName name="DailyWorkDays">#REF!</definedName>
    <definedName name="StartCalcFrom">#REF!</definedName>
    <definedName name="StopCalcFrom">#REF!</definedName>
    <definedName name="År" localSheetId="0">Masterdata!$I$1</definedName>
    <definedName name="Årstal">Masterdata!$I$1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60" l="1"/>
  <c r="L9" i="60"/>
  <c r="K10" i="60"/>
  <c r="L10" i="60"/>
  <c r="M10" i="60" s="1"/>
  <c r="N10" i="60" s="1"/>
  <c r="K11" i="60"/>
  <c r="L11" i="60"/>
  <c r="K12" i="60"/>
  <c r="L12" i="60"/>
  <c r="M12" i="60" s="1"/>
  <c r="K13" i="60"/>
  <c r="L13" i="60"/>
  <c r="K14" i="60"/>
  <c r="L14" i="60"/>
  <c r="K15" i="60"/>
  <c r="L15" i="60"/>
  <c r="M15" i="60" s="1"/>
  <c r="K16" i="60"/>
  <c r="L16" i="60"/>
  <c r="M16" i="60" s="1"/>
  <c r="K17" i="60"/>
  <c r="L17" i="60"/>
  <c r="K18" i="60"/>
  <c r="L18" i="60"/>
  <c r="K19" i="60"/>
  <c r="L19" i="60"/>
  <c r="M19" i="60" s="1"/>
  <c r="K20" i="60"/>
  <c r="L20" i="60"/>
  <c r="K21" i="60"/>
  <c r="L21" i="60"/>
  <c r="K22" i="60"/>
  <c r="L22" i="60"/>
  <c r="M22" i="60" s="1"/>
  <c r="K23" i="60"/>
  <c r="L23" i="60"/>
  <c r="K24" i="60"/>
  <c r="L24" i="60"/>
  <c r="M24" i="60" s="1"/>
  <c r="K25" i="60"/>
  <c r="L25" i="60"/>
  <c r="K26" i="60"/>
  <c r="L26" i="60"/>
  <c r="K27" i="60"/>
  <c r="L27" i="60"/>
  <c r="M27" i="60" s="1"/>
  <c r="K28" i="60"/>
  <c r="L28" i="60"/>
  <c r="M28" i="60" s="1"/>
  <c r="N28" i="60" s="1"/>
  <c r="K29" i="60"/>
  <c r="L29" i="60"/>
  <c r="K30" i="60"/>
  <c r="L30" i="60"/>
  <c r="M30" i="60" s="1"/>
  <c r="K31" i="60"/>
  <c r="L31" i="60"/>
  <c r="K32" i="60"/>
  <c r="L32" i="60"/>
  <c r="M32" i="60" s="1"/>
  <c r="K33" i="60"/>
  <c r="L33" i="60"/>
  <c r="M33" i="60" s="1"/>
  <c r="O33" i="60" s="1"/>
  <c r="P33" i="60" s="1"/>
  <c r="K34" i="60"/>
  <c r="L34" i="60"/>
  <c r="M34" i="60" s="1"/>
  <c r="K35" i="60"/>
  <c r="L35" i="60"/>
  <c r="K36" i="60"/>
  <c r="L36" i="60"/>
  <c r="M36" i="60" s="1"/>
  <c r="K37" i="60"/>
  <c r="L37" i="60"/>
  <c r="K38" i="60"/>
  <c r="L38" i="60"/>
  <c r="M38" i="60" s="1"/>
  <c r="K9" i="59"/>
  <c r="L9" i="59"/>
  <c r="M9" i="59" s="1"/>
  <c r="K10" i="59"/>
  <c r="L10" i="59"/>
  <c r="M10" i="59" s="1"/>
  <c r="K11" i="59"/>
  <c r="L11" i="59"/>
  <c r="K12" i="59"/>
  <c r="L12" i="59"/>
  <c r="M12" i="59" s="1"/>
  <c r="K13" i="59"/>
  <c r="L13" i="59"/>
  <c r="M13" i="59" s="1"/>
  <c r="K14" i="59"/>
  <c r="L14" i="59"/>
  <c r="M14" i="59" s="1"/>
  <c r="K15" i="59"/>
  <c r="L15" i="59"/>
  <c r="K16" i="59"/>
  <c r="L16" i="59"/>
  <c r="M16" i="59" s="1"/>
  <c r="O16" i="59" s="1"/>
  <c r="P16" i="59" s="1"/>
  <c r="K17" i="59"/>
  <c r="L17" i="59"/>
  <c r="M17" i="59" s="1"/>
  <c r="K18" i="59"/>
  <c r="L18" i="59"/>
  <c r="M18" i="59" s="1"/>
  <c r="K19" i="59"/>
  <c r="L19" i="59"/>
  <c r="K20" i="59"/>
  <c r="L20" i="59"/>
  <c r="M20" i="59" s="1"/>
  <c r="K21" i="59"/>
  <c r="L21" i="59"/>
  <c r="M21" i="59" s="1"/>
  <c r="O21" i="59" s="1"/>
  <c r="P21" i="59" s="1"/>
  <c r="K22" i="59"/>
  <c r="L22" i="59"/>
  <c r="K23" i="59"/>
  <c r="L23" i="59"/>
  <c r="M23" i="59" s="1"/>
  <c r="N23" i="59" s="1"/>
  <c r="K24" i="59"/>
  <c r="L24" i="59"/>
  <c r="M24" i="59" s="1"/>
  <c r="K25" i="59"/>
  <c r="L25" i="59"/>
  <c r="M25" i="59" s="1"/>
  <c r="O25" i="59" s="1"/>
  <c r="P25" i="59" s="1"/>
  <c r="K26" i="59"/>
  <c r="L26" i="59"/>
  <c r="K27" i="59"/>
  <c r="L27" i="59"/>
  <c r="K28" i="59"/>
  <c r="L28" i="59"/>
  <c r="M28" i="59" s="1"/>
  <c r="K29" i="59"/>
  <c r="L29" i="59"/>
  <c r="M29" i="59" s="1"/>
  <c r="O29" i="59" s="1"/>
  <c r="P29" i="59" s="1"/>
  <c r="K30" i="59"/>
  <c r="L30" i="59"/>
  <c r="M30" i="59" s="1"/>
  <c r="K31" i="59"/>
  <c r="L31" i="59"/>
  <c r="K32" i="59"/>
  <c r="L32" i="59"/>
  <c r="M32" i="59" s="1"/>
  <c r="K33" i="59"/>
  <c r="L33" i="59"/>
  <c r="M33" i="59" s="1"/>
  <c r="O33" i="59" s="1"/>
  <c r="P33" i="59" s="1"/>
  <c r="K34" i="59"/>
  <c r="L34" i="59"/>
  <c r="M34" i="59" s="1"/>
  <c r="K35" i="59"/>
  <c r="L35" i="59"/>
  <c r="K36" i="59"/>
  <c r="L36" i="59"/>
  <c r="M36" i="59" s="1"/>
  <c r="K37" i="59"/>
  <c r="L37" i="59"/>
  <c r="M37" i="59" s="1"/>
  <c r="K9" i="58"/>
  <c r="L9" i="58"/>
  <c r="K10" i="58"/>
  <c r="L10" i="58"/>
  <c r="M10" i="58" s="1"/>
  <c r="N10" i="58" s="1"/>
  <c r="K11" i="58"/>
  <c r="L11" i="58"/>
  <c r="M11" i="58" s="1"/>
  <c r="K12" i="58"/>
  <c r="L12" i="58"/>
  <c r="K13" i="58"/>
  <c r="L13" i="58"/>
  <c r="K14" i="58"/>
  <c r="L14" i="58"/>
  <c r="M14" i="58" s="1"/>
  <c r="K15" i="58"/>
  <c r="L15" i="58"/>
  <c r="K16" i="58"/>
  <c r="L16" i="58"/>
  <c r="M16" i="58" s="1"/>
  <c r="O16" i="58" s="1"/>
  <c r="P16" i="58" s="1"/>
  <c r="K17" i="58"/>
  <c r="L17" i="58"/>
  <c r="K18" i="58"/>
  <c r="L18" i="58"/>
  <c r="M18" i="58" s="1"/>
  <c r="K19" i="58"/>
  <c r="L19" i="58"/>
  <c r="K20" i="58"/>
  <c r="L20" i="58"/>
  <c r="M20" i="58" s="1"/>
  <c r="N20" i="58" s="1"/>
  <c r="K21" i="58"/>
  <c r="L21" i="58"/>
  <c r="K22" i="58"/>
  <c r="L22" i="58"/>
  <c r="K23" i="58"/>
  <c r="L23" i="58"/>
  <c r="M23" i="58" s="1"/>
  <c r="K24" i="58"/>
  <c r="L24" i="58"/>
  <c r="M24" i="58" s="1"/>
  <c r="N24" i="58" s="1"/>
  <c r="K25" i="58"/>
  <c r="L25" i="58"/>
  <c r="M25" i="58" s="1"/>
  <c r="O25" i="58" s="1"/>
  <c r="P25" i="58" s="1"/>
  <c r="K26" i="58"/>
  <c r="L26" i="58"/>
  <c r="K27" i="58"/>
  <c r="L27" i="58"/>
  <c r="M27" i="58" s="1"/>
  <c r="K28" i="58"/>
  <c r="L28" i="58"/>
  <c r="M28" i="58" s="1"/>
  <c r="N28" i="58" s="1"/>
  <c r="K29" i="58"/>
  <c r="L29" i="58"/>
  <c r="K30" i="58"/>
  <c r="L30" i="58"/>
  <c r="M30" i="58" s="1"/>
  <c r="K31" i="58"/>
  <c r="L31" i="58"/>
  <c r="M31" i="58" s="1"/>
  <c r="K32" i="58"/>
  <c r="L32" i="58"/>
  <c r="M32" i="58" s="1"/>
  <c r="N32" i="58" s="1"/>
  <c r="K33" i="58"/>
  <c r="L33" i="58"/>
  <c r="K34" i="58"/>
  <c r="L34" i="58"/>
  <c r="K35" i="58"/>
  <c r="L35" i="58"/>
  <c r="M35" i="58" s="1"/>
  <c r="K36" i="58"/>
  <c r="L36" i="58"/>
  <c r="M36" i="58" s="1"/>
  <c r="K37" i="58"/>
  <c r="L37" i="58"/>
  <c r="K38" i="58"/>
  <c r="L38" i="58"/>
  <c r="M38" i="58" s="1"/>
  <c r="K9" i="57"/>
  <c r="L9" i="57"/>
  <c r="M9" i="57" s="1"/>
  <c r="K10" i="57"/>
  <c r="L10" i="57"/>
  <c r="M10" i="57" s="1"/>
  <c r="K11" i="57"/>
  <c r="L11" i="57"/>
  <c r="K12" i="57"/>
  <c r="L12" i="57"/>
  <c r="M12" i="57" s="1"/>
  <c r="K13" i="57"/>
  <c r="L13" i="57"/>
  <c r="M13" i="57" s="1"/>
  <c r="K14" i="57"/>
  <c r="L14" i="57"/>
  <c r="M14" i="57" s="1"/>
  <c r="K15" i="57"/>
  <c r="L15" i="57"/>
  <c r="K16" i="57"/>
  <c r="L16" i="57"/>
  <c r="K17" i="57"/>
  <c r="L17" i="57"/>
  <c r="M17" i="57" s="1"/>
  <c r="K18" i="57"/>
  <c r="L18" i="57"/>
  <c r="M18" i="57" s="1"/>
  <c r="K19" i="57"/>
  <c r="L19" i="57"/>
  <c r="M19" i="57" s="1"/>
  <c r="K20" i="57"/>
  <c r="L20" i="57"/>
  <c r="K21" i="57"/>
  <c r="L21" i="57"/>
  <c r="M21" i="57" s="1"/>
  <c r="K22" i="57"/>
  <c r="L22" i="57"/>
  <c r="M22" i="57" s="1"/>
  <c r="K23" i="57"/>
  <c r="L23" i="57"/>
  <c r="M23" i="57" s="1"/>
  <c r="K24" i="57"/>
  <c r="L24" i="57"/>
  <c r="M24" i="57" s="1"/>
  <c r="K25" i="57"/>
  <c r="L25" i="57"/>
  <c r="M25" i="57" s="1"/>
  <c r="K26" i="57"/>
  <c r="L26" i="57"/>
  <c r="M26" i="57" s="1"/>
  <c r="K27" i="57"/>
  <c r="L27" i="57"/>
  <c r="M27" i="57" s="1"/>
  <c r="K28" i="57"/>
  <c r="L28" i="57"/>
  <c r="M28" i="57" s="1"/>
  <c r="K29" i="57"/>
  <c r="L29" i="57"/>
  <c r="M29" i="57" s="1"/>
  <c r="K30" i="57"/>
  <c r="L30" i="57"/>
  <c r="M30" i="57" s="1"/>
  <c r="K31" i="57"/>
  <c r="L31" i="57"/>
  <c r="M31" i="57" s="1"/>
  <c r="K32" i="57"/>
  <c r="L32" i="57"/>
  <c r="K33" i="57"/>
  <c r="L33" i="57"/>
  <c r="M33" i="57" s="1"/>
  <c r="K34" i="57"/>
  <c r="L34" i="57"/>
  <c r="M34" i="57" s="1"/>
  <c r="K35" i="57"/>
  <c r="L35" i="57"/>
  <c r="M35" i="57" s="1"/>
  <c r="K36" i="57"/>
  <c r="L36" i="57"/>
  <c r="M36" i="57" s="1"/>
  <c r="K37" i="57"/>
  <c r="L37" i="57"/>
  <c r="M37" i="57" s="1"/>
  <c r="K9" i="56"/>
  <c r="L9" i="56"/>
  <c r="K10" i="56"/>
  <c r="L10" i="56"/>
  <c r="M10" i="56" s="1"/>
  <c r="N10" i="56" s="1"/>
  <c r="K11" i="56"/>
  <c r="L11" i="56"/>
  <c r="M11" i="56" s="1"/>
  <c r="K12" i="56"/>
  <c r="L12" i="56"/>
  <c r="M12" i="56" s="1"/>
  <c r="K13" i="56"/>
  <c r="L13" i="56"/>
  <c r="M13" i="56" s="1"/>
  <c r="K14" i="56"/>
  <c r="L14" i="56"/>
  <c r="M14" i="56" s="1"/>
  <c r="K15" i="56"/>
  <c r="L15" i="56"/>
  <c r="M15" i="56" s="1"/>
  <c r="K16" i="56"/>
  <c r="L16" i="56"/>
  <c r="M16" i="56" s="1"/>
  <c r="O16" i="56" s="1"/>
  <c r="P16" i="56" s="1"/>
  <c r="K17" i="56"/>
  <c r="L17" i="56"/>
  <c r="M17" i="56" s="1"/>
  <c r="K18" i="56"/>
  <c r="L18" i="56"/>
  <c r="M18" i="56" s="1"/>
  <c r="K19" i="56"/>
  <c r="L19" i="56"/>
  <c r="K20" i="56"/>
  <c r="L20" i="56"/>
  <c r="M20" i="56" s="1"/>
  <c r="K21" i="56"/>
  <c r="L21" i="56"/>
  <c r="K22" i="56"/>
  <c r="L22" i="56"/>
  <c r="M22" i="56" s="1"/>
  <c r="K23" i="56"/>
  <c r="L23" i="56"/>
  <c r="M23" i="56" s="1"/>
  <c r="K24" i="56"/>
  <c r="L24" i="56"/>
  <c r="M24" i="56" s="1"/>
  <c r="N24" i="56" s="1"/>
  <c r="K25" i="56"/>
  <c r="L25" i="56"/>
  <c r="M25" i="56" s="1"/>
  <c r="O25" i="56" s="1"/>
  <c r="P25" i="56" s="1"/>
  <c r="K26" i="56"/>
  <c r="L26" i="56"/>
  <c r="M26" i="56" s="1"/>
  <c r="K27" i="56"/>
  <c r="L27" i="56"/>
  <c r="K28" i="56"/>
  <c r="L28" i="56"/>
  <c r="M28" i="56" s="1"/>
  <c r="N28" i="56" s="1"/>
  <c r="K29" i="56"/>
  <c r="L29" i="56"/>
  <c r="M29" i="56" s="1"/>
  <c r="O29" i="56" s="1"/>
  <c r="P29" i="56" s="1"/>
  <c r="K30" i="56"/>
  <c r="L30" i="56"/>
  <c r="M30" i="56" s="1"/>
  <c r="K31" i="56"/>
  <c r="L31" i="56"/>
  <c r="M31" i="56" s="1"/>
  <c r="K32" i="56"/>
  <c r="L32" i="56"/>
  <c r="M32" i="56" s="1"/>
  <c r="N32" i="56" s="1"/>
  <c r="K33" i="56"/>
  <c r="L33" i="56"/>
  <c r="K34" i="56"/>
  <c r="L34" i="56"/>
  <c r="M34" i="56" s="1"/>
  <c r="K35" i="56"/>
  <c r="L35" i="56"/>
  <c r="M35" i="56" s="1"/>
  <c r="K36" i="56"/>
  <c r="L36" i="56"/>
  <c r="M36" i="56" s="1"/>
  <c r="K37" i="56"/>
  <c r="L37" i="56"/>
  <c r="K38" i="56"/>
  <c r="L38" i="56"/>
  <c r="M38" i="56" s="1"/>
  <c r="K9" i="54"/>
  <c r="K10" i="54"/>
  <c r="K11" i="54"/>
  <c r="K12" i="54"/>
  <c r="L12" i="54"/>
  <c r="M12" i="54" s="1"/>
  <c r="K13" i="54"/>
  <c r="L13" i="54"/>
  <c r="M13" i="54" s="1"/>
  <c r="K14" i="54"/>
  <c r="K15" i="54"/>
  <c r="K16" i="54"/>
  <c r="K17" i="54"/>
  <c r="K18" i="54"/>
  <c r="K19" i="54"/>
  <c r="L19" i="54"/>
  <c r="K20" i="54"/>
  <c r="L20" i="54"/>
  <c r="M20" i="54" s="1"/>
  <c r="K21" i="54"/>
  <c r="K22" i="54"/>
  <c r="K23" i="54"/>
  <c r="K24" i="54"/>
  <c r="K25" i="54"/>
  <c r="K26" i="54"/>
  <c r="L26" i="54"/>
  <c r="M26" i="54" s="1"/>
  <c r="K27" i="54"/>
  <c r="L27" i="54"/>
  <c r="K28" i="54"/>
  <c r="K29" i="54"/>
  <c r="K30" i="54"/>
  <c r="K31" i="54"/>
  <c r="K32" i="54"/>
  <c r="K33" i="54"/>
  <c r="L33" i="54"/>
  <c r="M33" i="54" s="1"/>
  <c r="O33" i="54" s="1"/>
  <c r="P33" i="54" s="1"/>
  <c r="K34" i="54"/>
  <c r="L34" i="54"/>
  <c r="M34" i="54" s="1"/>
  <c r="K35" i="54"/>
  <c r="K36" i="54"/>
  <c r="K37" i="54"/>
  <c r="K38" i="54"/>
  <c r="K9" i="53"/>
  <c r="L9" i="53"/>
  <c r="K10" i="53"/>
  <c r="L10" i="53"/>
  <c r="M10" i="53" s="1"/>
  <c r="K11" i="53"/>
  <c r="L11" i="53"/>
  <c r="M11" i="53" s="1"/>
  <c r="K12" i="53"/>
  <c r="L12" i="53"/>
  <c r="M12" i="53" s="1"/>
  <c r="K13" i="53"/>
  <c r="L13" i="53"/>
  <c r="M13" i="53" s="1"/>
  <c r="K14" i="53"/>
  <c r="L14" i="53"/>
  <c r="M14" i="53" s="1"/>
  <c r="N14" i="53" s="1"/>
  <c r="K15" i="53"/>
  <c r="L15" i="53"/>
  <c r="M15" i="53" s="1"/>
  <c r="K16" i="53"/>
  <c r="L16" i="53"/>
  <c r="M16" i="53" s="1"/>
  <c r="O16" i="53" s="1"/>
  <c r="P16" i="53" s="1"/>
  <c r="K17" i="53"/>
  <c r="L17" i="53"/>
  <c r="M17" i="53" s="1"/>
  <c r="K18" i="53"/>
  <c r="L18" i="53"/>
  <c r="M18" i="53" s="1"/>
  <c r="K19" i="53"/>
  <c r="L19" i="53"/>
  <c r="M19" i="53" s="1"/>
  <c r="K20" i="53"/>
  <c r="L20" i="53"/>
  <c r="M20" i="53" s="1"/>
  <c r="K21" i="53"/>
  <c r="L21" i="53"/>
  <c r="M21" i="53" s="1"/>
  <c r="O21" i="53" s="1"/>
  <c r="P21" i="53" s="1"/>
  <c r="K22" i="53"/>
  <c r="L22" i="53"/>
  <c r="M22" i="53" s="1"/>
  <c r="K23" i="53"/>
  <c r="L23" i="53"/>
  <c r="M23" i="53" s="1"/>
  <c r="K24" i="53"/>
  <c r="L24" i="53"/>
  <c r="M24" i="53" s="1"/>
  <c r="N24" i="53" s="1"/>
  <c r="K25" i="53"/>
  <c r="L25" i="53"/>
  <c r="K26" i="53"/>
  <c r="L26" i="53"/>
  <c r="M26" i="53" s="1"/>
  <c r="K27" i="53"/>
  <c r="L27" i="53"/>
  <c r="M27" i="53" s="1"/>
  <c r="K28" i="53"/>
  <c r="L28" i="53"/>
  <c r="M28" i="53" s="1"/>
  <c r="K29" i="53"/>
  <c r="L29" i="53"/>
  <c r="K30" i="53"/>
  <c r="L30" i="53"/>
  <c r="M30" i="53" s="1"/>
  <c r="K31" i="53"/>
  <c r="L31" i="53"/>
  <c r="M31" i="53" s="1"/>
  <c r="K32" i="53"/>
  <c r="L32" i="53"/>
  <c r="M32" i="53" s="1"/>
  <c r="N32" i="53" s="1"/>
  <c r="K33" i="53"/>
  <c r="L33" i="53"/>
  <c r="M33" i="53" s="1"/>
  <c r="O33" i="53" s="1"/>
  <c r="P33" i="53" s="1"/>
  <c r="K34" i="53"/>
  <c r="L34" i="53"/>
  <c r="M34" i="53" s="1"/>
  <c r="K35" i="53"/>
  <c r="L35" i="53"/>
  <c r="M35" i="53" s="1"/>
  <c r="K36" i="53"/>
  <c r="L36" i="53"/>
  <c r="K37" i="53"/>
  <c r="L37" i="53"/>
  <c r="M37" i="53" s="1"/>
  <c r="K9" i="52"/>
  <c r="L9" i="52"/>
  <c r="M9" i="52" s="1"/>
  <c r="N9" i="52" s="1"/>
  <c r="K10" i="52"/>
  <c r="L10" i="52"/>
  <c r="M10" i="52" s="1"/>
  <c r="N10" i="52" s="1"/>
  <c r="K11" i="52"/>
  <c r="L11" i="52"/>
  <c r="M11" i="52" s="1"/>
  <c r="K12" i="52"/>
  <c r="L12" i="52"/>
  <c r="M12" i="52" s="1"/>
  <c r="K13" i="52"/>
  <c r="L13" i="52"/>
  <c r="M13" i="52" s="1"/>
  <c r="K14" i="52"/>
  <c r="L14" i="52"/>
  <c r="M14" i="52" s="1"/>
  <c r="K15" i="52"/>
  <c r="L15" i="52"/>
  <c r="K16" i="52"/>
  <c r="L16" i="52"/>
  <c r="M16" i="52" s="1"/>
  <c r="K17" i="52"/>
  <c r="L17" i="52"/>
  <c r="M17" i="52" s="1"/>
  <c r="K18" i="52"/>
  <c r="L18" i="52"/>
  <c r="M18" i="52" s="1"/>
  <c r="N18" i="52" s="1"/>
  <c r="K19" i="52"/>
  <c r="L19" i="52"/>
  <c r="K20" i="52"/>
  <c r="L20" i="52"/>
  <c r="M20" i="52" s="1"/>
  <c r="K21" i="52"/>
  <c r="L21" i="52"/>
  <c r="K22" i="52"/>
  <c r="L22" i="52"/>
  <c r="M22" i="52" s="1"/>
  <c r="N22" i="52" s="1"/>
  <c r="K23" i="52"/>
  <c r="L23" i="52"/>
  <c r="M23" i="52" s="1"/>
  <c r="K24" i="52"/>
  <c r="L24" i="52"/>
  <c r="K25" i="52"/>
  <c r="L25" i="52"/>
  <c r="M25" i="52" s="1"/>
  <c r="K26" i="52"/>
  <c r="L26" i="52"/>
  <c r="M26" i="52" s="1"/>
  <c r="N26" i="52" s="1"/>
  <c r="K27" i="52"/>
  <c r="L27" i="52"/>
  <c r="M27" i="52" s="1"/>
  <c r="K28" i="52"/>
  <c r="L28" i="52"/>
  <c r="M28" i="52" s="1"/>
  <c r="K29" i="52"/>
  <c r="L29" i="52"/>
  <c r="M29" i="52" s="1"/>
  <c r="K30" i="52"/>
  <c r="L30" i="52"/>
  <c r="M30" i="52" s="1"/>
  <c r="N30" i="52" s="1"/>
  <c r="K31" i="52"/>
  <c r="L31" i="52"/>
  <c r="M31" i="52" s="1"/>
  <c r="K32" i="52"/>
  <c r="L32" i="52"/>
  <c r="K33" i="52"/>
  <c r="L33" i="52"/>
  <c r="M33" i="52" s="1"/>
  <c r="K34" i="52"/>
  <c r="L34" i="52"/>
  <c r="M34" i="52" s="1"/>
  <c r="N34" i="52" s="1"/>
  <c r="K35" i="52"/>
  <c r="L35" i="52"/>
  <c r="M35" i="52" s="1"/>
  <c r="K36" i="52"/>
  <c r="L36" i="52"/>
  <c r="M36" i="52" s="1"/>
  <c r="K37" i="52"/>
  <c r="L37" i="52"/>
  <c r="M37" i="52" s="1"/>
  <c r="K38" i="52"/>
  <c r="L38" i="52"/>
  <c r="M38" i="52" s="1"/>
  <c r="K9" i="51"/>
  <c r="L9" i="51"/>
  <c r="M9" i="51" s="1"/>
  <c r="K10" i="51"/>
  <c r="L10" i="51"/>
  <c r="M10" i="51" s="1"/>
  <c r="K11" i="51"/>
  <c r="L11" i="51"/>
  <c r="M11" i="51" s="1"/>
  <c r="K12" i="51"/>
  <c r="L12" i="51"/>
  <c r="M12" i="51" s="1"/>
  <c r="K13" i="51"/>
  <c r="L13" i="51"/>
  <c r="M13" i="51" s="1"/>
  <c r="K14" i="51"/>
  <c r="L14" i="51"/>
  <c r="M14" i="51" s="1"/>
  <c r="K15" i="51"/>
  <c r="L15" i="51"/>
  <c r="M15" i="51" s="1"/>
  <c r="K16" i="51"/>
  <c r="L16" i="51"/>
  <c r="M16" i="51" s="1"/>
  <c r="O16" i="51" s="1"/>
  <c r="P16" i="51" s="1"/>
  <c r="K17" i="51"/>
  <c r="L17" i="51"/>
  <c r="M17" i="51" s="1"/>
  <c r="K18" i="51"/>
  <c r="L18" i="51"/>
  <c r="M18" i="51" s="1"/>
  <c r="K19" i="51"/>
  <c r="L19" i="51"/>
  <c r="M19" i="51" s="1"/>
  <c r="K20" i="51"/>
  <c r="L20" i="51"/>
  <c r="M20" i="51" s="1"/>
  <c r="N20" i="51" s="1"/>
  <c r="K21" i="51"/>
  <c r="L21" i="51"/>
  <c r="M21" i="51" s="1"/>
  <c r="O21" i="51" s="1"/>
  <c r="P21" i="51" s="1"/>
  <c r="K22" i="51"/>
  <c r="L22" i="51"/>
  <c r="M22" i="51" s="1"/>
  <c r="K23" i="51"/>
  <c r="L23" i="51"/>
  <c r="M23" i="51" s="1"/>
  <c r="K24" i="51"/>
  <c r="L24" i="51"/>
  <c r="M24" i="51" s="1"/>
  <c r="K25" i="51"/>
  <c r="L25" i="51"/>
  <c r="M25" i="51" s="1"/>
  <c r="O25" i="51" s="1"/>
  <c r="P25" i="51" s="1"/>
  <c r="K26" i="51"/>
  <c r="L26" i="51"/>
  <c r="M26" i="51" s="1"/>
  <c r="K27" i="51"/>
  <c r="L27" i="51"/>
  <c r="M27" i="51" s="1"/>
  <c r="K28" i="51"/>
  <c r="L28" i="51"/>
  <c r="M28" i="51" s="1"/>
  <c r="N28" i="51" s="1"/>
  <c r="K29" i="51"/>
  <c r="L29" i="51"/>
  <c r="M29" i="51" s="1"/>
  <c r="O29" i="51" s="1"/>
  <c r="P29" i="51" s="1"/>
  <c r="K30" i="51"/>
  <c r="L30" i="51"/>
  <c r="M30" i="51" s="1"/>
  <c r="K31" i="51"/>
  <c r="L31" i="51"/>
  <c r="M31" i="51" s="1"/>
  <c r="N31" i="51" s="1"/>
  <c r="K32" i="51"/>
  <c r="L32" i="51"/>
  <c r="M32" i="51" s="1"/>
  <c r="K33" i="51"/>
  <c r="L33" i="51"/>
  <c r="M33" i="51" s="1"/>
  <c r="O33" i="51" s="1"/>
  <c r="P33" i="51" s="1"/>
  <c r="K34" i="51"/>
  <c r="L34" i="51"/>
  <c r="M34" i="51" s="1"/>
  <c r="K35" i="51"/>
  <c r="L35" i="51"/>
  <c r="M35" i="51" s="1"/>
  <c r="N35" i="51" s="1"/>
  <c r="K36" i="51"/>
  <c r="L36" i="51"/>
  <c r="M36" i="51" s="1"/>
  <c r="K37" i="51"/>
  <c r="L37" i="51"/>
  <c r="M37" i="51" s="1"/>
  <c r="K9" i="50"/>
  <c r="L9" i="50"/>
  <c r="M9" i="50" s="1"/>
  <c r="K10" i="50"/>
  <c r="K11" i="50"/>
  <c r="K12" i="50"/>
  <c r="K13" i="50"/>
  <c r="K14" i="50"/>
  <c r="K15" i="50"/>
  <c r="L15" i="50"/>
  <c r="M15" i="50" s="1"/>
  <c r="K16" i="50"/>
  <c r="L16" i="50"/>
  <c r="M16" i="50" s="1"/>
  <c r="O16" i="50" s="1"/>
  <c r="P16" i="50" s="1"/>
  <c r="K17" i="50"/>
  <c r="K18" i="50"/>
  <c r="K19" i="50"/>
  <c r="K20" i="50"/>
  <c r="K21" i="50"/>
  <c r="K22" i="50"/>
  <c r="L22" i="50"/>
  <c r="M22" i="50" s="1"/>
  <c r="K23" i="50"/>
  <c r="L23" i="50"/>
  <c r="M23" i="50" s="1"/>
  <c r="O23" i="50" s="1"/>
  <c r="P23" i="50" s="1"/>
  <c r="K24" i="50"/>
  <c r="K25" i="50"/>
  <c r="K26" i="50"/>
  <c r="K27" i="50"/>
  <c r="K28" i="50"/>
  <c r="K29" i="50"/>
  <c r="L29" i="50"/>
  <c r="M29" i="50" s="1"/>
  <c r="O29" i="50" s="1"/>
  <c r="P29" i="50" s="1"/>
  <c r="K30" i="50"/>
  <c r="L30" i="50"/>
  <c r="K31" i="50"/>
  <c r="K32" i="50"/>
  <c r="K33" i="50"/>
  <c r="K34" i="50"/>
  <c r="K35" i="50"/>
  <c r="K36" i="50"/>
  <c r="L36" i="50"/>
  <c r="M36" i="50" s="1"/>
  <c r="K37" i="50"/>
  <c r="L37" i="50"/>
  <c r="M37" i="50" s="1"/>
  <c r="K38" i="50"/>
  <c r="K9" i="39"/>
  <c r="L9" i="39"/>
  <c r="K10" i="39"/>
  <c r="L10" i="39"/>
  <c r="K11" i="39"/>
  <c r="L11" i="39"/>
  <c r="K12" i="39"/>
  <c r="L12" i="39"/>
  <c r="K13" i="39"/>
  <c r="L13" i="39"/>
  <c r="K14" i="39"/>
  <c r="L14" i="39"/>
  <c r="K15" i="39"/>
  <c r="L15" i="39"/>
  <c r="K16" i="39"/>
  <c r="L16" i="39"/>
  <c r="K17" i="39"/>
  <c r="L17" i="39"/>
  <c r="K18" i="39"/>
  <c r="L18" i="39"/>
  <c r="K19" i="39"/>
  <c r="L19" i="39"/>
  <c r="K20" i="39"/>
  <c r="L20" i="39"/>
  <c r="K21" i="39"/>
  <c r="L21" i="39"/>
  <c r="K22" i="39"/>
  <c r="L22" i="39"/>
  <c r="K23" i="39"/>
  <c r="L23" i="39"/>
  <c r="K24" i="39"/>
  <c r="L24" i="39"/>
  <c r="K25" i="39"/>
  <c r="L25" i="39"/>
  <c r="K26" i="39"/>
  <c r="L26" i="39"/>
  <c r="K27" i="39"/>
  <c r="L27" i="39"/>
  <c r="K28" i="39"/>
  <c r="L28" i="39"/>
  <c r="K29" i="39"/>
  <c r="L29" i="39"/>
  <c r="K30" i="39"/>
  <c r="L30" i="39"/>
  <c r="K31" i="39"/>
  <c r="L31" i="39"/>
  <c r="K32" i="39"/>
  <c r="L32" i="39"/>
  <c r="K33" i="39"/>
  <c r="L33" i="39"/>
  <c r="K34" i="39"/>
  <c r="L34" i="39"/>
  <c r="K35" i="39"/>
  <c r="L35" i="39"/>
  <c r="K36" i="39"/>
  <c r="L36" i="39"/>
  <c r="K9" i="22"/>
  <c r="L9" i="22"/>
  <c r="K10" i="22"/>
  <c r="L10" i="22"/>
  <c r="K11" i="22"/>
  <c r="L11" i="22"/>
  <c r="K12" i="22"/>
  <c r="L12" i="22"/>
  <c r="K13" i="22"/>
  <c r="L13" i="22"/>
  <c r="K14" i="22"/>
  <c r="L14" i="22"/>
  <c r="K15" i="22"/>
  <c r="L15" i="22"/>
  <c r="K16" i="22"/>
  <c r="L16" i="22"/>
  <c r="K17" i="22"/>
  <c r="L17" i="22"/>
  <c r="K18" i="22"/>
  <c r="L18" i="22"/>
  <c r="K19" i="22"/>
  <c r="L19" i="22"/>
  <c r="K20" i="22"/>
  <c r="L20" i="22"/>
  <c r="K21" i="22"/>
  <c r="L21" i="22"/>
  <c r="K22" i="22"/>
  <c r="L22" i="22"/>
  <c r="K23" i="22"/>
  <c r="L23" i="22"/>
  <c r="K24" i="22"/>
  <c r="L24" i="22"/>
  <c r="K25" i="22"/>
  <c r="L25" i="22"/>
  <c r="K26" i="22"/>
  <c r="L26" i="22"/>
  <c r="K27" i="22"/>
  <c r="L27" i="22"/>
  <c r="K28" i="22"/>
  <c r="L28" i="22"/>
  <c r="K29" i="22"/>
  <c r="L29" i="22"/>
  <c r="K30" i="22"/>
  <c r="L30" i="22"/>
  <c r="K31" i="22"/>
  <c r="L31" i="22"/>
  <c r="K32" i="22"/>
  <c r="L32" i="22"/>
  <c r="K33" i="22"/>
  <c r="L33" i="22"/>
  <c r="K34" i="22"/>
  <c r="L34" i="22"/>
  <c r="K35" i="22"/>
  <c r="L35" i="22"/>
  <c r="K36" i="22"/>
  <c r="L36" i="22"/>
  <c r="K37" i="22"/>
  <c r="L37" i="22"/>
  <c r="K38" i="22"/>
  <c r="L38" i="22"/>
  <c r="B44" i="1"/>
  <c r="B41" i="1"/>
  <c r="B26" i="1"/>
  <c r="B25" i="1"/>
  <c r="B24" i="1"/>
  <c r="B23" i="1"/>
  <c r="B22" i="1"/>
  <c r="B21" i="1"/>
  <c r="B20" i="1"/>
  <c r="B19" i="1"/>
  <c r="B18" i="1"/>
  <c r="B17" i="1"/>
  <c r="B8" i="60"/>
  <c r="B9" i="60" s="1"/>
  <c r="B8" i="59"/>
  <c r="B9" i="59" s="1"/>
  <c r="B8" i="58"/>
  <c r="B8" i="57"/>
  <c r="B9" i="57" s="1"/>
  <c r="B8" i="56"/>
  <c r="B9" i="56" s="1"/>
  <c r="B8" i="54"/>
  <c r="B8" i="53"/>
  <c r="B8" i="52"/>
  <c r="B8" i="51"/>
  <c r="B9" i="51" s="1"/>
  <c r="B8" i="50"/>
  <c r="M37" i="60"/>
  <c r="M35" i="60"/>
  <c r="N35" i="60" s="1"/>
  <c r="M31" i="60"/>
  <c r="N31" i="60" s="1"/>
  <c r="M29" i="60"/>
  <c r="O29" i="60" s="1"/>
  <c r="P29" i="60" s="1"/>
  <c r="M26" i="60"/>
  <c r="M25" i="60"/>
  <c r="O25" i="60" s="1"/>
  <c r="P25" i="60" s="1"/>
  <c r="M23" i="60"/>
  <c r="N23" i="60" s="1"/>
  <c r="M21" i="60"/>
  <c r="N21" i="60" s="1"/>
  <c r="M20" i="60"/>
  <c r="M18" i="60"/>
  <c r="W17" i="60"/>
  <c r="M17" i="60"/>
  <c r="W16" i="60"/>
  <c r="W15" i="60"/>
  <c r="M14" i="60"/>
  <c r="M13" i="60"/>
  <c r="M11" i="60"/>
  <c r="W10" i="60"/>
  <c r="W9" i="60"/>
  <c r="M9" i="60"/>
  <c r="W8" i="60"/>
  <c r="L8" i="60"/>
  <c r="M8" i="60" s="1"/>
  <c r="N8" i="60" s="1"/>
  <c r="K8" i="60"/>
  <c r="B4" i="60"/>
  <c r="M35" i="59"/>
  <c r="N35" i="59" s="1"/>
  <c r="M31" i="59"/>
  <c r="M27" i="59"/>
  <c r="N27" i="59" s="1"/>
  <c r="M26" i="59"/>
  <c r="M22" i="59"/>
  <c r="M19" i="59"/>
  <c r="W16" i="59"/>
  <c r="W15" i="59"/>
  <c r="W17" i="59" s="1"/>
  <c r="M15" i="59"/>
  <c r="M11" i="59"/>
  <c r="W10" i="59"/>
  <c r="W9" i="59"/>
  <c r="W8" i="59"/>
  <c r="L8" i="59"/>
  <c r="M8" i="59" s="1"/>
  <c r="K8" i="59"/>
  <c r="B4" i="59"/>
  <c r="M37" i="58"/>
  <c r="O37" i="58" s="1"/>
  <c r="P37" i="58" s="1"/>
  <c r="M34" i="58"/>
  <c r="M33" i="58"/>
  <c r="O33" i="58" s="1"/>
  <c r="P33" i="58" s="1"/>
  <c r="M29" i="58"/>
  <c r="O29" i="58" s="1"/>
  <c r="P29" i="58" s="1"/>
  <c r="M26" i="58"/>
  <c r="M22" i="58"/>
  <c r="M21" i="58"/>
  <c r="O21" i="58" s="1"/>
  <c r="P21" i="58" s="1"/>
  <c r="M19" i="58"/>
  <c r="W17" i="58"/>
  <c r="M17" i="58"/>
  <c r="W16" i="58"/>
  <c r="W15" i="58"/>
  <c r="M15" i="58"/>
  <c r="M13" i="58"/>
  <c r="M12" i="58"/>
  <c r="W10" i="58"/>
  <c r="W9" i="58"/>
  <c r="M9" i="58"/>
  <c r="N9" i="58" s="1"/>
  <c r="W8" i="58"/>
  <c r="L8" i="58"/>
  <c r="M8" i="58" s="1"/>
  <c r="K8" i="58"/>
  <c r="B4" i="58"/>
  <c r="M32" i="57"/>
  <c r="M20" i="57"/>
  <c r="W16" i="57"/>
  <c r="M16" i="57"/>
  <c r="M15" i="57"/>
  <c r="M11" i="57"/>
  <c r="W10" i="57"/>
  <c r="W15" i="57" s="1"/>
  <c r="W17" i="57" s="1"/>
  <c r="W8" i="57"/>
  <c r="W9" i="57" s="1"/>
  <c r="L8" i="57"/>
  <c r="M8" i="57" s="1"/>
  <c r="K8" i="57"/>
  <c r="B4" i="57"/>
  <c r="M37" i="56"/>
  <c r="M33" i="56"/>
  <c r="O33" i="56" s="1"/>
  <c r="P33" i="56" s="1"/>
  <c r="M27" i="56"/>
  <c r="M21" i="56"/>
  <c r="O21" i="56" s="1"/>
  <c r="P21" i="56" s="1"/>
  <c r="M19" i="56"/>
  <c r="W17" i="56"/>
  <c r="W16" i="56"/>
  <c r="W15" i="56"/>
  <c r="W10" i="56"/>
  <c r="W9" i="56"/>
  <c r="M9" i="56"/>
  <c r="W8" i="56"/>
  <c r="L8" i="56"/>
  <c r="M8" i="56" s="1"/>
  <c r="K8" i="56"/>
  <c r="B4" i="56"/>
  <c r="M27" i="54"/>
  <c r="N27" i="54" s="1"/>
  <c r="M19" i="54"/>
  <c r="N19" i="54" s="1"/>
  <c r="W16" i="54"/>
  <c r="W10" i="54"/>
  <c r="W15" i="54" s="1"/>
  <c r="W17" i="54" s="1"/>
  <c r="W9" i="54"/>
  <c r="W8" i="54"/>
  <c r="K8" i="54"/>
  <c r="B9" i="54"/>
  <c r="B4" i="54"/>
  <c r="M36" i="53"/>
  <c r="M29" i="53"/>
  <c r="O29" i="53" s="1"/>
  <c r="P29" i="53" s="1"/>
  <c r="M25" i="53"/>
  <c r="O25" i="53" s="1"/>
  <c r="P25" i="53" s="1"/>
  <c r="W16" i="53"/>
  <c r="W15" i="53"/>
  <c r="W17" i="53" s="1"/>
  <c r="W10" i="53"/>
  <c r="M9" i="53"/>
  <c r="W8" i="53"/>
  <c r="W9" i="53" s="1"/>
  <c r="L8" i="53"/>
  <c r="M8" i="53" s="1"/>
  <c r="K8" i="53"/>
  <c r="B4" i="53"/>
  <c r="M32" i="52"/>
  <c r="N32" i="52" s="1"/>
  <c r="M24" i="52"/>
  <c r="N24" i="52" s="1"/>
  <c r="M21" i="52"/>
  <c r="M19" i="52"/>
  <c r="W16" i="52"/>
  <c r="M15" i="52"/>
  <c r="W10" i="52"/>
  <c r="W15" i="52" s="1"/>
  <c r="W17" i="52" s="1"/>
  <c r="W9" i="52"/>
  <c r="W8" i="52"/>
  <c r="L8" i="52"/>
  <c r="M8" i="52" s="1"/>
  <c r="K8" i="52"/>
  <c r="B4" i="52"/>
  <c r="W16" i="51"/>
  <c r="W10" i="51"/>
  <c r="W15" i="51" s="1"/>
  <c r="W17" i="51" s="1"/>
  <c r="W8" i="51"/>
  <c r="W9" i="51" s="1"/>
  <c r="L8" i="51"/>
  <c r="M8" i="51" s="1"/>
  <c r="N8" i="51" s="1"/>
  <c r="K8" i="51"/>
  <c r="B4" i="51"/>
  <c r="M30" i="50"/>
  <c r="W17" i="50"/>
  <c r="W16" i="50"/>
  <c r="W15" i="50"/>
  <c r="W10" i="50"/>
  <c r="W9" i="50"/>
  <c r="W8" i="50"/>
  <c r="L8" i="50"/>
  <c r="M8" i="50" s="1"/>
  <c r="K8" i="50"/>
  <c r="B4" i="50"/>
  <c r="L8" i="39"/>
  <c r="L8" i="22"/>
  <c r="B40" i="1"/>
  <c r="B42" i="1"/>
  <c r="D8" i="57" l="1"/>
  <c r="N10" i="53"/>
  <c r="O10" i="53"/>
  <c r="P10" i="53" s="1"/>
  <c r="N28" i="52"/>
  <c r="O28" i="52"/>
  <c r="P28" i="52" s="1"/>
  <c r="N10" i="51"/>
  <c r="O10" i="51"/>
  <c r="P10" i="51" s="1"/>
  <c r="O10" i="60"/>
  <c r="P10" i="60" s="1"/>
  <c r="Q10" i="60" s="1"/>
  <c r="N16" i="60"/>
  <c r="O16" i="60"/>
  <c r="P16" i="60" s="1"/>
  <c r="N20" i="60"/>
  <c r="O20" i="60"/>
  <c r="P20" i="60" s="1"/>
  <c r="N24" i="60"/>
  <c r="O24" i="60"/>
  <c r="P24" i="60" s="1"/>
  <c r="N32" i="60"/>
  <c r="O32" i="60"/>
  <c r="P32" i="60" s="1"/>
  <c r="O28" i="60"/>
  <c r="P28" i="60" s="1"/>
  <c r="Q28" i="60" s="1"/>
  <c r="O21" i="60"/>
  <c r="P21" i="60" s="1"/>
  <c r="Q21" i="60" s="1"/>
  <c r="N24" i="59"/>
  <c r="O24" i="59"/>
  <c r="P24" i="59" s="1"/>
  <c r="N32" i="59"/>
  <c r="O32" i="59"/>
  <c r="P32" i="59" s="1"/>
  <c r="N28" i="59"/>
  <c r="O28" i="59"/>
  <c r="P28" i="59" s="1"/>
  <c r="N10" i="59"/>
  <c r="O10" i="59"/>
  <c r="P10" i="59" s="1"/>
  <c r="N20" i="59"/>
  <c r="O20" i="59"/>
  <c r="P20" i="59" s="1"/>
  <c r="O20" i="58"/>
  <c r="P20" i="58" s="1"/>
  <c r="Q20" i="58" s="1"/>
  <c r="O28" i="58"/>
  <c r="P28" i="58" s="1"/>
  <c r="Q28" i="58" s="1"/>
  <c r="O10" i="58"/>
  <c r="P10" i="58" s="1"/>
  <c r="Q10" i="58" s="1"/>
  <c r="O24" i="58"/>
  <c r="P24" i="58" s="1"/>
  <c r="Q24" i="58" s="1"/>
  <c r="O32" i="58"/>
  <c r="P32" i="58" s="1"/>
  <c r="Q32" i="58" s="1"/>
  <c r="N20" i="56"/>
  <c r="O20" i="56"/>
  <c r="P20" i="56" s="1"/>
  <c r="N18" i="56"/>
  <c r="O18" i="56"/>
  <c r="P18" i="56" s="1"/>
  <c r="O10" i="56"/>
  <c r="P10" i="56" s="1"/>
  <c r="Q10" i="56" s="1"/>
  <c r="O28" i="56"/>
  <c r="P28" i="56" s="1"/>
  <c r="Q28" i="56" s="1"/>
  <c r="O24" i="56"/>
  <c r="P24" i="56" s="1"/>
  <c r="Q24" i="56" s="1"/>
  <c r="O32" i="56"/>
  <c r="P32" i="56" s="1"/>
  <c r="Q32" i="56" s="1"/>
  <c r="N20" i="54"/>
  <c r="O20" i="54"/>
  <c r="P20" i="54" s="1"/>
  <c r="N20" i="53"/>
  <c r="O20" i="53"/>
  <c r="P20" i="53" s="1"/>
  <c r="N28" i="53"/>
  <c r="O28" i="53"/>
  <c r="P28" i="53" s="1"/>
  <c r="O24" i="53"/>
  <c r="P24" i="53" s="1"/>
  <c r="Q24" i="53" s="1"/>
  <c r="O32" i="53"/>
  <c r="P32" i="53" s="1"/>
  <c r="Q32" i="53" s="1"/>
  <c r="N20" i="52"/>
  <c r="O20" i="52"/>
  <c r="P20" i="52" s="1"/>
  <c r="O10" i="52"/>
  <c r="P10" i="52" s="1"/>
  <c r="Q10" i="52" s="1"/>
  <c r="O24" i="52"/>
  <c r="P24" i="52" s="1"/>
  <c r="Q24" i="52" s="1"/>
  <c r="O32" i="52"/>
  <c r="P32" i="52" s="1"/>
  <c r="Q32" i="52" s="1"/>
  <c r="N24" i="51"/>
  <c r="O24" i="51"/>
  <c r="P24" i="51" s="1"/>
  <c r="N32" i="51"/>
  <c r="O32" i="51"/>
  <c r="P32" i="51" s="1"/>
  <c r="O20" i="51"/>
  <c r="P20" i="51" s="1"/>
  <c r="Q20" i="51" s="1"/>
  <c r="O28" i="51"/>
  <c r="P28" i="51" s="1"/>
  <c r="Q28" i="51" s="1"/>
  <c r="N14" i="60"/>
  <c r="O14" i="60"/>
  <c r="P14" i="60" s="1"/>
  <c r="N9" i="60"/>
  <c r="O9" i="60"/>
  <c r="P9" i="60" s="1"/>
  <c r="O11" i="60"/>
  <c r="P11" i="60" s="1"/>
  <c r="N11" i="60"/>
  <c r="O15" i="60"/>
  <c r="P15" i="60" s="1"/>
  <c r="N15" i="60"/>
  <c r="O17" i="60"/>
  <c r="P17" i="60" s="1"/>
  <c r="N17" i="60"/>
  <c r="O22" i="60"/>
  <c r="P22" i="60" s="1"/>
  <c r="N22" i="60"/>
  <c r="O30" i="60"/>
  <c r="P30" i="60" s="1"/>
  <c r="N30" i="60"/>
  <c r="N36" i="60"/>
  <c r="O36" i="60"/>
  <c r="P36" i="60" s="1"/>
  <c r="B10" i="60"/>
  <c r="A9" i="60"/>
  <c r="E9" i="60"/>
  <c r="D9" i="60"/>
  <c r="O12" i="60"/>
  <c r="P12" i="60" s="1"/>
  <c r="N12" i="60"/>
  <c r="O18" i="60"/>
  <c r="P18" i="60" s="1"/>
  <c r="N18" i="60"/>
  <c r="O37" i="60"/>
  <c r="P37" i="60" s="1"/>
  <c r="N37" i="60"/>
  <c r="O26" i="60"/>
  <c r="P26" i="60" s="1"/>
  <c r="N26" i="60"/>
  <c r="O34" i="60"/>
  <c r="P34" i="60" s="1"/>
  <c r="N34" i="60"/>
  <c r="O13" i="60"/>
  <c r="P13" i="60" s="1"/>
  <c r="N13" i="60"/>
  <c r="O38" i="60"/>
  <c r="P38" i="60" s="1"/>
  <c r="N38" i="60"/>
  <c r="O8" i="60"/>
  <c r="P8" i="60" s="1"/>
  <c r="Q8" i="60" s="1"/>
  <c r="O19" i="60"/>
  <c r="P19" i="60" s="1"/>
  <c r="O23" i="60"/>
  <c r="P23" i="60" s="1"/>
  <c r="Q23" i="60" s="1"/>
  <c r="O27" i="60"/>
  <c r="P27" i="60" s="1"/>
  <c r="O31" i="60"/>
  <c r="P31" i="60" s="1"/>
  <c r="Q31" i="60" s="1"/>
  <c r="O35" i="60"/>
  <c r="P35" i="60" s="1"/>
  <c r="Q35" i="60" s="1"/>
  <c r="N19" i="60"/>
  <c r="D8" i="60"/>
  <c r="N27" i="60"/>
  <c r="E8" i="60"/>
  <c r="N25" i="60"/>
  <c r="Q25" i="60" s="1"/>
  <c r="N29" i="60"/>
  <c r="Q29" i="60" s="1"/>
  <c r="N33" i="60"/>
  <c r="Q33" i="60" s="1"/>
  <c r="A8" i="60"/>
  <c r="O13" i="59"/>
  <c r="P13" i="59" s="1"/>
  <c r="N13" i="59"/>
  <c r="N14" i="59"/>
  <c r="O14" i="59"/>
  <c r="P14" i="59" s="1"/>
  <c r="O22" i="59"/>
  <c r="P22" i="59" s="1"/>
  <c r="N22" i="59"/>
  <c r="O30" i="59"/>
  <c r="P30" i="59" s="1"/>
  <c r="N30" i="59"/>
  <c r="O37" i="59"/>
  <c r="P37" i="59" s="1"/>
  <c r="N37" i="59"/>
  <c r="O17" i="59"/>
  <c r="P17" i="59" s="1"/>
  <c r="N17" i="59"/>
  <c r="N36" i="59"/>
  <c r="O36" i="59"/>
  <c r="P36" i="59" s="1"/>
  <c r="N9" i="59"/>
  <c r="O9" i="59"/>
  <c r="P9" i="59" s="1"/>
  <c r="O11" i="59"/>
  <c r="P11" i="59" s="1"/>
  <c r="N11" i="59"/>
  <c r="O15" i="59"/>
  <c r="P15" i="59" s="1"/>
  <c r="N15" i="59"/>
  <c r="B10" i="59"/>
  <c r="A9" i="59"/>
  <c r="E9" i="59"/>
  <c r="D9" i="59"/>
  <c r="O12" i="59"/>
  <c r="P12" i="59" s="1"/>
  <c r="N12" i="59"/>
  <c r="O18" i="59"/>
  <c r="P18" i="59" s="1"/>
  <c r="N18" i="59"/>
  <c r="O26" i="59"/>
  <c r="P26" i="59" s="1"/>
  <c r="N26" i="59"/>
  <c r="O34" i="59"/>
  <c r="P34" i="59" s="1"/>
  <c r="N34" i="59"/>
  <c r="O8" i="59"/>
  <c r="P8" i="59" s="1"/>
  <c r="O19" i="59"/>
  <c r="P19" i="59" s="1"/>
  <c r="O23" i="59"/>
  <c r="P23" i="59" s="1"/>
  <c r="Q23" i="59" s="1"/>
  <c r="O27" i="59"/>
  <c r="P27" i="59" s="1"/>
  <c r="Q27" i="59" s="1"/>
  <c r="O31" i="59"/>
  <c r="P31" i="59" s="1"/>
  <c r="O35" i="59"/>
  <c r="P35" i="59" s="1"/>
  <c r="Q35" i="59" s="1"/>
  <c r="N8" i="59"/>
  <c r="N31" i="59"/>
  <c r="D8" i="59"/>
  <c r="N19" i="59"/>
  <c r="E8" i="59"/>
  <c r="N16" i="59"/>
  <c r="Q16" i="59" s="1"/>
  <c r="N21" i="59"/>
  <c r="Q21" i="59" s="1"/>
  <c r="N25" i="59"/>
  <c r="Q25" i="59" s="1"/>
  <c r="N29" i="59"/>
  <c r="Q29" i="59" s="1"/>
  <c r="N33" i="59"/>
  <c r="Q33" i="59" s="1"/>
  <c r="A8" i="59"/>
  <c r="O38" i="58"/>
  <c r="P38" i="58" s="1"/>
  <c r="N38" i="58"/>
  <c r="N14" i="58"/>
  <c r="O14" i="58"/>
  <c r="P14" i="58" s="1"/>
  <c r="O30" i="58"/>
  <c r="P30" i="58" s="1"/>
  <c r="N30" i="58"/>
  <c r="N17" i="58"/>
  <c r="O17" i="58"/>
  <c r="P17" i="58" s="1"/>
  <c r="N36" i="58"/>
  <c r="O36" i="58"/>
  <c r="P36" i="58" s="1"/>
  <c r="O13" i="58"/>
  <c r="P13" i="58" s="1"/>
  <c r="N13" i="58"/>
  <c r="O9" i="58"/>
  <c r="P9" i="58" s="1"/>
  <c r="Q9" i="58" s="1"/>
  <c r="B9" i="58"/>
  <c r="A8" i="58"/>
  <c r="E8" i="58"/>
  <c r="D8" i="58"/>
  <c r="O22" i="58"/>
  <c r="P22" i="58" s="1"/>
  <c r="N22" i="58"/>
  <c r="O11" i="58"/>
  <c r="P11" i="58" s="1"/>
  <c r="N11" i="58"/>
  <c r="O15" i="58"/>
  <c r="P15" i="58" s="1"/>
  <c r="N15" i="58"/>
  <c r="N8" i="58"/>
  <c r="O8" i="58"/>
  <c r="P8" i="58" s="1"/>
  <c r="N12" i="58"/>
  <c r="O12" i="58"/>
  <c r="P12" i="58" s="1"/>
  <c r="O18" i="58"/>
  <c r="P18" i="58" s="1"/>
  <c r="N18" i="58"/>
  <c r="O26" i="58"/>
  <c r="P26" i="58" s="1"/>
  <c r="N26" i="58"/>
  <c r="O34" i="58"/>
  <c r="P34" i="58" s="1"/>
  <c r="N34" i="58"/>
  <c r="N27" i="58"/>
  <c r="N31" i="58"/>
  <c r="N35" i="58"/>
  <c r="O19" i="58"/>
  <c r="P19" i="58" s="1"/>
  <c r="O23" i="58"/>
  <c r="P23" i="58" s="1"/>
  <c r="O27" i="58"/>
  <c r="P27" i="58" s="1"/>
  <c r="O31" i="58"/>
  <c r="P31" i="58" s="1"/>
  <c r="O35" i="58"/>
  <c r="P35" i="58" s="1"/>
  <c r="N19" i="58"/>
  <c r="N23" i="58"/>
  <c r="N16" i="58"/>
  <c r="Q16" i="58" s="1"/>
  <c r="N21" i="58"/>
  <c r="Q21" i="58" s="1"/>
  <c r="N25" i="58"/>
  <c r="Q25" i="58" s="1"/>
  <c r="N29" i="58"/>
  <c r="Q29" i="58" s="1"/>
  <c r="N33" i="58"/>
  <c r="Q33" i="58" s="1"/>
  <c r="N37" i="58"/>
  <c r="Q37" i="58" s="1"/>
  <c r="O14" i="57"/>
  <c r="P14" i="57" s="1"/>
  <c r="N14" i="57"/>
  <c r="N24" i="57"/>
  <c r="O24" i="57"/>
  <c r="P24" i="57" s="1"/>
  <c r="O11" i="57"/>
  <c r="P11" i="57" s="1"/>
  <c r="N11" i="57"/>
  <c r="O21" i="57"/>
  <c r="P21" i="57" s="1"/>
  <c r="N21" i="57"/>
  <c r="N28" i="57"/>
  <c r="O28" i="57"/>
  <c r="P28" i="57" s="1"/>
  <c r="O15" i="57"/>
  <c r="P15" i="57" s="1"/>
  <c r="N15" i="57"/>
  <c r="O18" i="57"/>
  <c r="P18" i="57" s="1"/>
  <c r="N18" i="57"/>
  <c r="O25" i="57"/>
  <c r="P25" i="57" s="1"/>
  <c r="N25" i="57"/>
  <c r="N32" i="57"/>
  <c r="O32" i="57"/>
  <c r="P32" i="57" s="1"/>
  <c r="N36" i="57"/>
  <c r="O36" i="57"/>
  <c r="P36" i="57" s="1"/>
  <c r="N26" i="57"/>
  <c r="O26" i="57"/>
  <c r="P26" i="57" s="1"/>
  <c r="N30" i="57"/>
  <c r="O30" i="57"/>
  <c r="P30" i="57" s="1"/>
  <c r="O37" i="57"/>
  <c r="P37" i="57" s="1"/>
  <c r="N37" i="57"/>
  <c r="N9" i="57"/>
  <c r="O9" i="57"/>
  <c r="P9" i="57" s="1"/>
  <c r="O29" i="57"/>
  <c r="P29" i="57" s="1"/>
  <c r="N29" i="57"/>
  <c r="B10" i="57"/>
  <c r="A9" i="57"/>
  <c r="D9" i="57"/>
  <c r="E9" i="57"/>
  <c r="O16" i="57"/>
  <c r="P16" i="57" s="1"/>
  <c r="N16" i="57"/>
  <c r="N10" i="57"/>
  <c r="O10" i="57"/>
  <c r="P10" i="57" s="1"/>
  <c r="O13" i="57"/>
  <c r="P13" i="57" s="1"/>
  <c r="N13" i="57"/>
  <c r="O34" i="57"/>
  <c r="P34" i="57" s="1"/>
  <c r="N34" i="57"/>
  <c r="N22" i="57"/>
  <c r="O22" i="57"/>
  <c r="P22" i="57" s="1"/>
  <c r="O33" i="57"/>
  <c r="P33" i="57" s="1"/>
  <c r="N33" i="57"/>
  <c r="N20" i="57"/>
  <c r="O20" i="57"/>
  <c r="P20" i="57" s="1"/>
  <c r="N8" i="57"/>
  <c r="N19" i="57"/>
  <c r="N23" i="57"/>
  <c r="N27" i="57"/>
  <c r="N31" i="57"/>
  <c r="N35" i="57"/>
  <c r="O8" i="57"/>
  <c r="P8" i="57" s="1"/>
  <c r="O19" i="57"/>
  <c r="P19" i="57" s="1"/>
  <c r="O23" i="57"/>
  <c r="P23" i="57" s="1"/>
  <c r="O27" i="57"/>
  <c r="P27" i="57" s="1"/>
  <c r="O31" i="57"/>
  <c r="P31" i="57" s="1"/>
  <c r="O35" i="57"/>
  <c r="P35" i="57" s="1"/>
  <c r="O12" i="57"/>
  <c r="P12" i="57" s="1"/>
  <c r="O17" i="57"/>
  <c r="P17" i="57" s="1"/>
  <c r="E8" i="57"/>
  <c r="N12" i="57"/>
  <c r="N17" i="57"/>
  <c r="A8" i="57"/>
  <c r="O37" i="56"/>
  <c r="P37" i="56" s="1"/>
  <c r="N37" i="56"/>
  <c r="O11" i="56"/>
  <c r="P11" i="56" s="1"/>
  <c r="N11" i="56"/>
  <c r="B10" i="56"/>
  <c r="A9" i="56"/>
  <c r="E9" i="56"/>
  <c r="D9" i="56"/>
  <c r="O12" i="56"/>
  <c r="P12" i="56" s="1"/>
  <c r="N12" i="56"/>
  <c r="O13" i="56"/>
  <c r="P13" i="56" s="1"/>
  <c r="N13" i="56"/>
  <c r="N36" i="56"/>
  <c r="O36" i="56"/>
  <c r="P36" i="56" s="1"/>
  <c r="N14" i="56"/>
  <c r="O14" i="56"/>
  <c r="P14" i="56" s="1"/>
  <c r="O17" i="56"/>
  <c r="P17" i="56" s="1"/>
  <c r="N17" i="56"/>
  <c r="N9" i="56"/>
  <c r="O9" i="56"/>
  <c r="P9" i="56" s="1"/>
  <c r="O15" i="56"/>
  <c r="P15" i="56" s="1"/>
  <c r="N15" i="56"/>
  <c r="O38" i="56"/>
  <c r="P38" i="56" s="1"/>
  <c r="N38" i="56"/>
  <c r="N8" i="56"/>
  <c r="N19" i="56"/>
  <c r="N23" i="56"/>
  <c r="N27" i="56"/>
  <c r="N31" i="56"/>
  <c r="N35" i="56"/>
  <c r="O8" i="56"/>
  <c r="P8" i="56" s="1"/>
  <c r="O19" i="56"/>
  <c r="P19" i="56" s="1"/>
  <c r="O23" i="56"/>
  <c r="P23" i="56" s="1"/>
  <c r="O27" i="56"/>
  <c r="P27" i="56" s="1"/>
  <c r="O31" i="56"/>
  <c r="P31" i="56" s="1"/>
  <c r="O35" i="56"/>
  <c r="P35" i="56" s="1"/>
  <c r="D8" i="56"/>
  <c r="N22" i="56"/>
  <c r="N26" i="56"/>
  <c r="N30" i="56"/>
  <c r="N34" i="56"/>
  <c r="E8" i="56"/>
  <c r="O22" i="56"/>
  <c r="P22" i="56" s="1"/>
  <c r="O26" i="56"/>
  <c r="P26" i="56" s="1"/>
  <c r="O30" i="56"/>
  <c r="P30" i="56" s="1"/>
  <c r="O34" i="56"/>
  <c r="P34" i="56" s="1"/>
  <c r="N16" i="56"/>
  <c r="Q16" i="56" s="1"/>
  <c r="N21" i="56"/>
  <c r="Q21" i="56" s="1"/>
  <c r="N25" i="56"/>
  <c r="Q25" i="56" s="1"/>
  <c r="N29" i="56"/>
  <c r="Q29" i="56" s="1"/>
  <c r="N33" i="56"/>
  <c r="Q33" i="56" s="1"/>
  <c r="A8" i="56"/>
  <c r="E9" i="54"/>
  <c r="B10" i="54"/>
  <c r="A9" i="54"/>
  <c r="D9" i="54"/>
  <c r="O12" i="54"/>
  <c r="P12" i="54" s="1"/>
  <c r="N12" i="54"/>
  <c r="O13" i="54"/>
  <c r="P13" i="54" s="1"/>
  <c r="N13" i="54"/>
  <c r="O26" i="54"/>
  <c r="P26" i="54" s="1"/>
  <c r="N26" i="54"/>
  <c r="O34" i="54"/>
  <c r="P34" i="54" s="1"/>
  <c r="N34" i="54"/>
  <c r="O19" i="54"/>
  <c r="P19" i="54" s="1"/>
  <c r="Q19" i="54" s="1"/>
  <c r="O27" i="54"/>
  <c r="P27" i="54" s="1"/>
  <c r="Q27" i="54" s="1"/>
  <c r="D8" i="54"/>
  <c r="E8" i="54"/>
  <c r="N33" i="54"/>
  <c r="Q33" i="54" s="1"/>
  <c r="A8" i="54"/>
  <c r="O11" i="53"/>
  <c r="P11" i="53" s="1"/>
  <c r="N11" i="53"/>
  <c r="O22" i="53"/>
  <c r="P22" i="53" s="1"/>
  <c r="N22" i="53"/>
  <c r="O30" i="53"/>
  <c r="P30" i="53" s="1"/>
  <c r="N30" i="53"/>
  <c r="N8" i="53"/>
  <c r="O8" i="53"/>
  <c r="P8" i="53" s="1"/>
  <c r="O17" i="53"/>
  <c r="P17" i="53" s="1"/>
  <c r="N17" i="53"/>
  <c r="O13" i="53"/>
  <c r="P13" i="53" s="1"/>
  <c r="N13" i="53"/>
  <c r="O14" i="53"/>
  <c r="P14" i="53" s="1"/>
  <c r="Q14" i="53" s="1"/>
  <c r="N36" i="53"/>
  <c r="O36" i="53"/>
  <c r="P36" i="53" s="1"/>
  <c r="N12" i="53"/>
  <c r="O12" i="53"/>
  <c r="P12" i="53" s="1"/>
  <c r="O18" i="53"/>
  <c r="P18" i="53" s="1"/>
  <c r="N18" i="53"/>
  <c r="O26" i="53"/>
  <c r="P26" i="53" s="1"/>
  <c r="N26" i="53"/>
  <c r="O37" i="53"/>
  <c r="P37" i="53" s="1"/>
  <c r="N37" i="53"/>
  <c r="O9" i="53"/>
  <c r="P9" i="53" s="1"/>
  <c r="O34" i="53"/>
  <c r="P34" i="53" s="1"/>
  <c r="N34" i="53"/>
  <c r="B9" i="53"/>
  <c r="A8" i="53"/>
  <c r="E8" i="53"/>
  <c r="D8" i="53"/>
  <c r="N9" i="53"/>
  <c r="O15" i="53"/>
  <c r="P15" i="53" s="1"/>
  <c r="N15" i="53"/>
  <c r="N35" i="53"/>
  <c r="O19" i="53"/>
  <c r="P19" i="53" s="1"/>
  <c r="O23" i="53"/>
  <c r="P23" i="53" s="1"/>
  <c r="O27" i="53"/>
  <c r="P27" i="53" s="1"/>
  <c r="O31" i="53"/>
  <c r="P31" i="53" s="1"/>
  <c r="O35" i="53"/>
  <c r="P35" i="53" s="1"/>
  <c r="N19" i="53"/>
  <c r="N23" i="53"/>
  <c r="N27" i="53"/>
  <c r="N31" i="53"/>
  <c r="N16" i="53"/>
  <c r="Q16" i="53" s="1"/>
  <c r="N21" i="53"/>
  <c r="Q21" i="53" s="1"/>
  <c r="N25" i="53"/>
  <c r="Q25" i="53" s="1"/>
  <c r="N29" i="53"/>
  <c r="Q29" i="53" s="1"/>
  <c r="N33" i="53"/>
  <c r="Q33" i="53" s="1"/>
  <c r="O25" i="52"/>
  <c r="P25" i="52" s="1"/>
  <c r="N25" i="52"/>
  <c r="B9" i="52"/>
  <c r="A8" i="52"/>
  <c r="E8" i="52"/>
  <c r="D8" i="52"/>
  <c r="O15" i="52"/>
  <c r="P15" i="52" s="1"/>
  <c r="N15" i="52"/>
  <c r="O33" i="52"/>
  <c r="P33" i="52" s="1"/>
  <c r="N33" i="52"/>
  <c r="O9" i="52"/>
  <c r="P9" i="52" s="1"/>
  <c r="Q9" i="52" s="1"/>
  <c r="O11" i="52"/>
  <c r="P11" i="52" s="1"/>
  <c r="N11" i="52"/>
  <c r="O13" i="52"/>
  <c r="P13" i="52" s="1"/>
  <c r="N13" i="52"/>
  <c r="O21" i="52"/>
  <c r="P21" i="52" s="1"/>
  <c r="N21" i="52"/>
  <c r="N36" i="52"/>
  <c r="O36" i="52"/>
  <c r="P36" i="52" s="1"/>
  <c r="O8" i="52"/>
  <c r="P8" i="52" s="1"/>
  <c r="N8" i="52"/>
  <c r="O19" i="52"/>
  <c r="P19" i="52" s="1"/>
  <c r="N19" i="52"/>
  <c r="O29" i="52"/>
  <c r="P29" i="52" s="1"/>
  <c r="N29" i="52"/>
  <c r="O37" i="52"/>
  <c r="P37" i="52" s="1"/>
  <c r="N37" i="52"/>
  <c r="O14" i="52"/>
  <c r="P14" i="52" s="1"/>
  <c r="O16" i="52"/>
  <c r="P16" i="52" s="1"/>
  <c r="N16" i="52"/>
  <c r="N14" i="52"/>
  <c r="N38" i="52"/>
  <c r="O38" i="52"/>
  <c r="P38" i="52" s="1"/>
  <c r="N23" i="52"/>
  <c r="N27" i="52"/>
  <c r="N31" i="52"/>
  <c r="N35" i="52"/>
  <c r="O23" i="52"/>
  <c r="P23" i="52" s="1"/>
  <c r="O27" i="52"/>
  <c r="P27" i="52" s="1"/>
  <c r="O31" i="52"/>
  <c r="P31" i="52" s="1"/>
  <c r="O35" i="52"/>
  <c r="P35" i="52" s="1"/>
  <c r="O22" i="52"/>
  <c r="P22" i="52" s="1"/>
  <c r="Q22" i="52" s="1"/>
  <c r="O26" i="52"/>
  <c r="P26" i="52" s="1"/>
  <c r="Q26" i="52" s="1"/>
  <c r="O30" i="52"/>
  <c r="P30" i="52" s="1"/>
  <c r="Q30" i="52" s="1"/>
  <c r="O34" i="52"/>
  <c r="P34" i="52" s="1"/>
  <c r="Q34" i="52" s="1"/>
  <c r="N12" i="52"/>
  <c r="N17" i="52"/>
  <c r="O18" i="52"/>
  <c r="P18" i="52" s="1"/>
  <c r="Q18" i="52" s="1"/>
  <c r="O12" i="52"/>
  <c r="P12" i="52" s="1"/>
  <c r="O17" i="52"/>
  <c r="P17" i="52" s="1"/>
  <c r="N14" i="51"/>
  <c r="O14" i="51"/>
  <c r="P14" i="51" s="1"/>
  <c r="O22" i="51"/>
  <c r="P22" i="51" s="1"/>
  <c r="N22" i="51"/>
  <c r="O30" i="51"/>
  <c r="P30" i="51" s="1"/>
  <c r="N30" i="51"/>
  <c r="O17" i="51"/>
  <c r="P17" i="51" s="1"/>
  <c r="N17" i="51"/>
  <c r="N36" i="51"/>
  <c r="O36" i="51"/>
  <c r="P36" i="51" s="1"/>
  <c r="N9" i="51"/>
  <c r="O9" i="51"/>
  <c r="P9" i="51" s="1"/>
  <c r="O15" i="51"/>
  <c r="P15" i="51" s="1"/>
  <c r="N15" i="51"/>
  <c r="O13" i="51"/>
  <c r="P13" i="51" s="1"/>
  <c r="N13" i="51"/>
  <c r="O37" i="51"/>
  <c r="P37" i="51" s="1"/>
  <c r="N37" i="51"/>
  <c r="B10" i="51"/>
  <c r="A9" i="51"/>
  <c r="E9" i="51"/>
  <c r="D9" i="51"/>
  <c r="O12" i="51"/>
  <c r="P12" i="51" s="1"/>
  <c r="N12" i="51"/>
  <c r="O18" i="51"/>
  <c r="P18" i="51" s="1"/>
  <c r="N18" i="51"/>
  <c r="O26" i="51"/>
  <c r="P26" i="51" s="1"/>
  <c r="N26" i="51"/>
  <c r="O34" i="51"/>
  <c r="P34" i="51" s="1"/>
  <c r="N34" i="51"/>
  <c r="O11" i="51"/>
  <c r="P11" i="51" s="1"/>
  <c r="N11" i="51"/>
  <c r="N27" i="51"/>
  <c r="O23" i="51"/>
  <c r="P23" i="51" s="1"/>
  <c r="O27" i="51"/>
  <c r="P27" i="51" s="1"/>
  <c r="O31" i="51"/>
  <c r="P31" i="51" s="1"/>
  <c r="Q31" i="51" s="1"/>
  <c r="O35" i="51"/>
  <c r="P35" i="51" s="1"/>
  <c r="Q35" i="51" s="1"/>
  <c r="N23" i="51"/>
  <c r="O8" i="51"/>
  <c r="P8" i="51" s="1"/>
  <c r="Q8" i="51" s="1"/>
  <c r="O19" i="51"/>
  <c r="P19" i="51" s="1"/>
  <c r="D8" i="51"/>
  <c r="E8" i="51"/>
  <c r="N19" i="51"/>
  <c r="N16" i="51"/>
  <c r="Q16" i="51" s="1"/>
  <c r="N21" i="51"/>
  <c r="Q21" i="51" s="1"/>
  <c r="N25" i="51"/>
  <c r="Q25" i="51" s="1"/>
  <c r="N29" i="51"/>
  <c r="Q29" i="51" s="1"/>
  <c r="N33" i="51"/>
  <c r="Q33" i="51" s="1"/>
  <c r="A8" i="51"/>
  <c r="O8" i="50"/>
  <c r="P8" i="50" s="1"/>
  <c r="N8" i="50"/>
  <c r="O22" i="50"/>
  <c r="P22" i="50" s="1"/>
  <c r="N22" i="50"/>
  <c r="O30" i="50"/>
  <c r="P30" i="50" s="1"/>
  <c r="N30" i="50"/>
  <c r="N36" i="50"/>
  <c r="O36" i="50"/>
  <c r="P36" i="50" s="1"/>
  <c r="O37" i="50"/>
  <c r="P37" i="50" s="1"/>
  <c r="N37" i="50"/>
  <c r="O9" i="50"/>
  <c r="P9" i="50" s="1"/>
  <c r="B9" i="50"/>
  <c r="A8" i="50"/>
  <c r="E8" i="50"/>
  <c r="D8" i="50"/>
  <c r="N9" i="50"/>
  <c r="O15" i="50"/>
  <c r="P15" i="50" s="1"/>
  <c r="N15" i="50"/>
  <c r="N23" i="50"/>
  <c r="Q23" i="50" s="1"/>
  <c r="N16" i="50"/>
  <c r="Q16" i="50" s="1"/>
  <c r="N29" i="50"/>
  <c r="Q29" i="50" s="1"/>
  <c r="B43" i="1"/>
  <c r="Q20" i="53" l="1"/>
  <c r="Q18" i="53"/>
  <c r="Q20" i="56"/>
  <c r="Q16" i="52"/>
  <c r="Q14" i="58"/>
  <c r="Q30" i="57"/>
  <c r="Q25" i="57"/>
  <c r="Q26" i="53"/>
  <c r="Q30" i="53"/>
  <c r="Q18" i="59"/>
  <c r="Q15" i="59"/>
  <c r="Q17" i="59"/>
  <c r="Q14" i="59"/>
  <c r="Q18" i="60"/>
  <c r="Q17" i="58"/>
  <c r="Q23" i="58"/>
  <c r="Q27" i="58"/>
  <c r="Q21" i="57"/>
  <c r="Q19" i="56"/>
  <c r="Q38" i="56"/>
  <c r="Q15" i="56"/>
  <c r="Q10" i="53"/>
  <c r="Q28" i="52"/>
  <c r="Q17" i="51"/>
  <c r="Q28" i="53"/>
  <c r="Q32" i="57"/>
  <c r="Q27" i="53"/>
  <c r="Q11" i="51"/>
  <c r="Q15" i="51"/>
  <c r="Q22" i="51"/>
  <c r="Q13" i="52"/>
  <c r="Q34" i="53"/>
  <c r="Q12" i="56"/>
  <c r="Q26" i="57"/>
  <c r="Q27" i="60"/>
  <c r="Q8" i="52"/>
  <c r="Q13" i="54"/>
  <c r="Q19" i="57"/>
  <c r="Q22" i="57"/>
  <c r="Q9" i="57"/>
  <c r="Q30" i="58"/>
  <c r="Q15" i="58"/>
  <c r="Q31" i="56"/>
  <c r="Q36" i="57"/>
  <c r="Q15" i="50"/>
  <c r="Q29" i="52"/>
  <c r="Q21" i="52"/>
  <c r="Q33" i="52"/>
  <c r="Q25" i="52"/>
  <c r="Q12" i="54"/>
  <c r="Q36" i="56"/>
  <c r="Q37" i="57"/>
  <c r="Q11" i="58"/>
  <c r="Q31" i="59"/>
  <c r="Q12" i="59"/>
  <c r="Q11" i="59"/>
  <c r="Q13" i="59"/>
  <c r="Q10" i="51"/>
  <c r="Q19" i="51"/>
  <c r="Q37" i="51"/>
  <c r="Q17" i="53"/>
  <c r="Q8" i="56"/>
  <c r="Q31" i="57"/>
  <c r="Q34" i="59"/>
  <c r="Q9" i="59"/>
  <c r="Q20" i="59"/>
  <c r="Q30" i="60"/>
  <c r="Q12" i="52"/>
  <c r="Q23" i="51"/>
  <c r="Q36" i="51"/>
  <c r="Q9" i="53"/>
  <c r="Q8" i="53"/>
  <c r="Q26" i="56"/>
  <c r="Q33" i="57"/>
  <c r="Q32" i="60"/>
  <c r="Q38" i="60"/>
  <c r="Q14" i="60"/>
  <c r="Q22" i="60"/>
  <c r="Q15" i="60"/>
  <c r="Q32" i="59"/>
  <c r="Q19" i="59"/>
  <c r="Q35" i="58"/>
  <c r="Q34" i="58"/>
  <c r="Q22" i="58"/>
  <c r="Q36" i="58"/>
  <c r="Q8" i="58"/>
  <c r="Q27" i="57"/>
  <c r="Q14" i="57"/>
  <c r="Q12" i="57"/>
  <c r="Q34" i="57"/>
  <c r="Q18" i="57"/>
  <c r="Q11" i="57"/>
  <c r="Q8" i="57"/>
  <c r="Q34" i="56"/>
  <c r="Q9" i="56"/>
  <c r="Q13" i="56"/>
  <c r="Q11" i="56"/>
  <c r="Q18" i="56"/>
  <c r="Q14" i="56"/>
  <c r="Q26" i="54"/>
  <c r="Q34" i="54"/>
  <c r="Q23" i="53"/>
  <c r="Q19" i="53"/>
  <c r="Q13" i="53"/>
  <c r="Q22" i="53"/>
  <c r="Q38" i="52"/>
  <c r="Q17" i="52"/>
  <c r="Q19" i="52"/>
  <c r="Q11" i="52"/>
  <c r="Q27" i="51"/>
  <c r="Q26" i="51"/>
  <c r="Q24" i="51"/>
  <c r="Q30" i="51"/>
  <c r="Q18" i="51"/>
  <c r="Q14" i="51"/>
  <c r="Q30" i="50"/>
  <c r="Q8" i="50"/>
  <c r="Q26" i="60"/>
  <c r="Q36" i="60"/>
  <c r="Q17" i="60"/>
  <c r="Q19" i="60"/>
  <c r="Q9" i="60"/>
  <c r="Q13" i="60"/>
  <c r="Q34" i="60"/>
  <c r="Q12" i="60"/>
  <c r="Q11" i="60"/>
  <c r="Q24" i="60"/>
  <c r="Q37" i="60"/>
  <c r="Q20" i="60"/>
  <c r="Q16" i="60"/>
  <c r="Q10" i="59"/>
  <c r="Q8" i="59"/>
  <c r="Q37" i="59"/>
  <c r="Q28" i="59"/>
  <c r="Q36" i="59"/>
  <c r="Q30" i="59"/>
  <c r="Q26" i="59"/>
  <c r="Q22" i="59"/>
  <c r="Q24" i="59"/>
  <c r="Q26" i="58"/>
  <c r="Q13" i="58"/>
  <c r="Q18" i="58"/>
  <c r="Q31" i="58"/>
  <c r="Q19" i="58"/>
  <c r="Q38" i="58"/>
  <c r="Q12" i="58"/>
  <c r="Q23" i="57"/>
  <c r="Q10" i="57"/>
  <c r="Q29" i="57"/>
  <c r="Q15" i="57"/>
  <c r="Q24" i="57"/>
  <c r="Q17" i="57"/>
  <c r="Q35" i="57"/>
  <c r="Q16" i="57"/>
  <c r="Q28" i="57"/>
  <c r="Q20" i="57"/>
  <c r="Q13" i="57"/>
  <c r="Q30" i="56"/>
  <c r="Q22" i="56"/>
  <c r="Q35" i="56"/>
  <c r="Q17" i="56"/>
  <c r="Q37" i="56"/>
  <c r="Q27" i="56"/>
  <c r="Q23" i="56"/>
  <c r="Q20" i="54"/>
  <c r="Q37" i="53"/>
  <c r="Q36" i="53"/>
  <c r="Q12" i="53"/>
  <c r="Q15" i="53"/>
  <c r="Q31" i="53"/>
  <c r="Q11" i="53"/>
  <c r="Q35" i="53"/>
  <c r="Q36" i="52"/>
  <c r="Q35" i="52"/>
  <c r="Q14" i="52"/>
  <c r="Q31" i="52"/>
  <c r="Q27" i="52"/>
  <c r="Q23" i="52"/>
  <c r="Q15" i="52"/>
  <c r="Q37" i="52"/>
  <c r="Q20" i="52"/>
  <c r="Q34" i="51"/>
  <c r="Q13" i="51"/>
  <c r="Q32" i="51"/>
  <c r="Q9" i="51"/>
  <c r="Q12" i="51"/>
  <c r="Q9" i="50"/>
  <c r="Q36" i="50"/>
  <c r="Q22" i="50"/>
  <c r="Q37" i="50"/>
  <c r="D10" i="60"/>
  <c r="B11" i="60"/>
  <c r="A10" i="60"/>
  <c r="E10" i="60"/>
  <c r="B11" i="59"/>
  <c r="A10" i="59"/>
  <c r="D10" i="59"/>
  <c r="E10" i="59"/>
  <c r="B10" i="58"/>
  <c r="A9" i="58"/>
  <c r="E9" i="58"/>
  <c r="D9" i="58"/>
  <c r="B11" i="57"/>
  <c r="A10" i="57"/>
  <c r="E10" i="57"/>
  <c r="D10" i="57"/>
  <c r="B11" i="56"/>
  <c r="A10" i="56"/>
  <c r="E10" i="56"/>
  <c r="D10" i="56"/>
  <c r="B11" i="54"/>
  <c r="A10" i="54"/>
  <c r="D10" i="54"/>
  <c r="E10" i="54"/>
  <c r="B10" i="53"/>
  <c r="A9" i="53"/>
  <c r="E9" i="53"/>
  <c r="D9" i="53"/>
  <c r="B10" i="52"/>
  <c r="A9" i="52"/>
  <c r="E9" i="52"/>
  <c r="D9" i="52"/>
  <c r="D10" i="51"/>
  <c r="B11" i="51"/>
  <c r="A10" i="51"/>
  <c r="E10" i="51"/>
  <c r="A9" i="50"/>
  <c r="B10" i="50"/>
  <c r="E9" i="50"/>
  <c r="D9" i="50"/>
  <c r="Q39" i="52" l="1"/>
  <c r="Q38" i="59"/>
  <c r="Q39" i="58"/>
  <c r="Q38" i="57"/>
  <c r="Q39" i="56"/>
  <c r="B3" i="56" s="1"/>
  <c r="Q38" i="53"/>
  <c r="B3" i="52"/>
  <c r="C19" i="1"/>
  <c r="Q38" i="51"/>
  <c r="Q39" i="60"/>
  <c r="E11" i="60"/>
  <c r="D11" i="60"/>
  <c r="A11" i="60"/>
  <c r="B12" i="60"/>
  <c r="A11" i="59"/>
  <c r="B12" i="59"/>
  <c r="E11" i="59"/>
  <c r="D11" i="59"/>
  <c r="B11" i="58"/>
  <c r="A10" i="58"/>
  <c r="D10" i="58"/>
  <c r="E10" i="58"/>
  <c r="A11" i="57"/>
  <c r="B12" i="57"/>
  <c r="E11" i="57"/>
  <c r="D11" i="57"/>
  <c r="A11" i="56"/>
  <c r="B12" i="56"/>
  <c r="D11" i="56"/>
  <c r="E11" i="56"/>
  <c r="E11" i="54"/>
  <c r="D11" i="54"/>
  <c r="A11" i="54"/>
  <c r="B12" i="54"/>
  <c r="B11" i="53"/>
  <c r="A10" i="53"/>
  <c r="D10" i="53"/>
  <c r="E10" i="53"/>
  <c r="B11" i="52"/>
  <c r="A10" i="52"/>
  <c r="E10" i="52"/>
  <c r="D10" i="52"/>
  <c r="D11" i="51"/>
  <c r="E11" i="51"/>
  <c r="A11" i="51"/>
  <c r="B12" i="51"/>
  <c r="B11" i="50"/>
  <c r="A10" i="50"/>
  <c r="E10" i="50"/>
  <c r="D10" i="50"/>
  <c r="B3" i="53" l="1"/>
  <c r="C20" i="1"/>
  <c r="B3" i="57"/>
  <c r="C23" i="1"/>
  <c r="B3" i="59"/>
  <c r="C25" i="1"/>
  <c r="B3" i="51"/>
  <c r="C18" i="1"/>
  <c r="C22" i="1"/>
  <c r="B3" i="60"/>
  <c r="C26" i="1"/>
  <c r="B3" i="58"/>
  <c r="C24" i="1"/>
  <c r="E12" i="60"/>
  <c r="D12" i="60"/>
  <c r="A12" i="60"/>
  <c r="B13" i="60"/>
  <c r="E12" i="59"/>
  <c r="D12" i="59"/>
  <c r="B13" i="59"/>
  <c r="A12" i="59"/>
  <c r="A11" i="58"/>
  <c r="B12" i="58"/>
  <c r="E11" i="58"/>
  <c r="D11" i="58"/>
  <c r="E12" i="57"/>
  <c r="D12" i="57"/>
  <c r="A12" i="57"/>
  <c r="B13" i="57"/>
  <c r="E12" i="56"/>
  <c r="D12" i="56"/>
  <c r="A12" i="56"/>
  <c r="B13" i="56"/>
  <c r="E12" i="54"/>
  <c r="D12" i="54"/>
  <c r="B13" i="54"/>
  <c r="A12" i="54"/>
  <c r="E11" i="53"/>
  <c r="A11" i="53"/>
  <c r="B12" i="53"/>
  <c r="D11" i="53"/>
  <c r="A11" i="52"/>
  <c r="B12" i="52"/>
  <c r="E11" i="52"/>
  <c r="D11" i="52"/>
  <c r="E12" i="51"/>
  <c r="D12" i="51"/>
  <c r="B13" i="51"/>
  <c r="A12" i="51"/>
  <c r="E11" i="50"/>
  <c r="A11" i="50"/>
  <c r="B12" i="50"/>
  <c r="D11" i="50"/>
  <c r="B14" i="60" l="1"/>
  <c r="A13" i="60"/>
  <c r="E13" i="60"/>
  <c r="D13" i="60"/>
  <c r="B14" i="59"/>
  <c r="A13" i="59"/>
  <c r="E13" i="59"/>
  <c r="D13" i="59"/>
  <c r="E12" i="58"/>
  <c r="D12" i="58"/>
  <c r="A12" i="58"/>
  <c r="B13" i="58"/>
  <c r="B14" i="57"/>
  <c r="D13" i="57"/>
  <c r="E13" i="57"/>
  <c r="A13" i="57"/>
  <c r="B14" i="56"/>
  <c r="E13" i="56"/>
  <c r="D13" i="56"/>
  <c r="A13" i="56"/>
  <c r="B14" i="54"/>
  <c r="D13" i="54"/>
  <c r="E13" i="54"/>
  <c r="A13" i="54"/>
  <c r="E12" i="53"/>
  <c r="D12" i="53"/>
  <c r="B13" i="53"/>
  <c r="A12" i="53"/>
  <c r="E12" i="52"/>
  <c r="D12" i="52"/>
  <c r="A12" i="52"/>
  <c r="B13" i="52"/>
  <c r="B14" i="51"/>
  <c r="A13" i="51"/>
  <c r="E13" i="51"/>
  <c r="D13" i="51"/>
  <c r="E12" i="50"/>
  <c r="D12" i="50"/>
  <c r="A12" i="50"/>
  <c r="B13" i="50"/>
  <c r="A14" i="60" l="1"/>
  <c r="B15" i="60"/>
  <c r="E14" i="60"/>
  <c r="D14" i="60"/>
  <c r="A14" i="59"/>
  <c r="B15" i="59"/>
  <c r="E14" i="59"/>
  <c r="D14" i="59"/>
  <c r="B14" i="58"/>
  <c r="D13" i="58"/>
  <c r="A13" i="58"/>
  <c r="E13" i="58"/>
  <c r="A14" i="57"/>
  <c r="E14" i="57"/>
  <c r="B15" i="57"/>
  <c r="D14" i="57"/>
  <c r="A14" i="56"/>
  <c r="B15" i="56"/>
  <c r="E14" i="56"/>
  <c r="D14" i="56"/>
  <c r="A14" i="54"/>
  <c r="B15" i="54"/>
  <c r="E14" i="54"/>
  <c r="D14" i="54"/>
  <c r="B14" i="53"/>
  <c r="E13" i="53"/>
  <c r="D13" i="53"/>
  <c r="A13" i="53"/>
  <c r="B14" i="52"/>
  <c r="E13" i="52"/>
  <c r="D13" i="52"/>
  <c r="A13" i="52"/>
  <c r="A14" i="51"/>
  <c r="B15" i="51"/>
  <c r="E14" i="51"/>
  <c r="D14" i="51"/>
  <c r="B14" i="50"/>
  <c r="E13" i="50"/>
  <c r="D13" i="50"/>
  <c r="A13" i="50"/>
  <c r="D15" i="60" l="1"/>
  <c r="B16" i="60"/>
  <c r="A15" i="60"/>
  <c r="E15" i="60"/>
  <c r="D15" i="59"/>
  <c r="B16" i="59"/>
  <c r="A15" i="59"/>
  <c r="E15" i="59"/>
  <c r="A14" i="58"/>
  <c r="B15" i="58"/>
  <c r="E14" i="58"/>
  <c r="D14" i="58"/>
  <c r="B16" i="57"/>
  <c r="A15" i="57"/>
  <c r="E15" i="57"/>
  <c r="D15" i="57"/>
  <c r="B16" i="56"/>
  <c r="A15" i="56"/>
  <c r="D15" i="56"/>
  <c r="E15" i="56"/>
  <c r="E15" i="54"/>
  <c r="B16" i="54"/>
  <c r="A15" i="54"/>
  <c r="D15" i="54"/>
  <c r="A14" i="53"/>
  <c r="B15" i="53"/>
  <c r="E14" i="53"/>
  <c r="D14" i="53"/>
  <c r="A14" i="52"/>
  <c r="B15" i="52"/>
  <c r="E14" i="52"/>
  <c r="D14" i="52"/>
  <c r="D15" i="51"/>
  <c r="E15" i="51"/>
  <c r="B16" i="51"/>
  <c r="A15" i="51"/>
  <c r="A14" i="50"/>
  <c r="B15" i="50"/>
  <c r="D14" i="50"/>
  <c r="E14" i="50"/>
  <c r="D16" i="60" l="1"/>
  <c r="B17" i="60"/>
  <c r="A16" i="60"/>
  <c r="E16" i="60"/>
  <c r="D16" i="59"/>
  <c r="E16" i="59"/>
  <c r="B17" i="59"/>
  <c r="A16" i="59"/>
  <c r="B16" i="58"/>
  <c r="A15" i="58"/>
  <c r="E15" i="58"/>
  <c r="D15" i="58"/>
  <c r="D16" i="57"/>
  <c r="B17" i="57"/>
  <c r="A16" i="57"/>
  <c r="E16" i="57"/>
  <c r="D16" i="56"/>
  <c r="B17" i="56"/>
  <c r="A16" i="56"/>
  <c r="E16" i="56"/>
  <c r="D16" i="54"/>
  <c r="E16" i="54"/>
  <c r="B17" i="54"/>
  <c r="A16" i="54"/>
  <c r="A15" i="53"/>
  <c r="E15" i="53"/>
  <c r="B16" i="53"/>
  <c r="D15" i="53"/>
  <c r="B16" i="52"/>
  <c r="A15" i="52"/>
  <c r="E15" i="52"/>
  <c r="D15" i="52"/>
  <c r="D16" i="51"/>
  <c r="E16" i="51"/>
  <c r="B17" i="51"/>
  <c r="A16" i="51"/>
  <c r="E15" i="50"/>
  <c r="B16" i="50"/>
  <c r="A15" i="50"/>
  <c r="D15" i="50"/>
  <c r="E17" i="60" l="1"/>
  <c r="D17" i="60"/>
  <c r="B18" i="60"/>
  <c r="A17" i="60"/>
  <c r="E17" i="59"/>
  <c r="D17" i="59"/>
  <c r="B18" i="59"/>
  <c r="A17" i="59"/>
  <c r="D16" i="58"/>
  <c r="B17" i="58"/>
  <c r="A16" i="58"/>
  <c r="E16" i="58"/>
  <c r="E17" i="57"/>
  <c r="D17" i="57"/>
  <c r="B18" i="57"/>
  <c r="A17" i="57"/>
  <c r="E17" i="56"/>
  <c r="D17" i="56"/>
  <c r="B18" i="56"/>
  <c r="A17" i="56"/>
  <c r="E17" i="54"/>
  <c r="D17" i="54"/>
  <c r="B18" i="54"/>
  <c r="A17" i="54"/>
  <c r="D16" i="53"/>
  <c r="B17" i="53"/>
  <c r="A16" i="53"/>
  <c r="E16" i="53"/>
  <c r="D16" i="52"/>
  <c r="A16" i="52"/>
  <c r="B17" i="52"/>
  <c r="E16" i="52"/>
  <c r="E17" i="51"/>
  <c r="D17" i="51"/>
  <c r="B18" i="51"/>
  <c r="A17" i="51"/>
  <c r="D16" i="50"/>
  <c r="E16" i="50"/>
  <c r="B17" i="50"/>
  <c r="A16" i="50"/>
  <c r="E18" i="60" l="1"/>
  <c r="D18" i="60"/>
  <c r="A18" i="60"/>
  <c r="B19" i="60"/>
  <c r="E18" i="59"/>
  <c r="D18" i="59"/>
  <c r="A18" i="59"/>
  <c r="B19" i="59"/>
  <c r="E17" i="58"/>
  <c r="D17" i="58"/>
  <c r="B18" i="58"/>
  <c r="A17" i="58"/>
  <c r="E18" i="57"/>
  <c r="D18" i="57"/>
  <c r="B19" i="57"/>
  <c r="A18" i="57"/>
  <c r="B19" i="56"/>
  <c r="E18" i="56"/>
  <c r="D18" i="56"/>
  <c r="A18" i="56"/>
  <c r="A18" i="54"/>
  <c r="E18" i="54"/>
  <c r="D18" i="54"/>
  <c r="B19" i="54"/>
  <c r="E17" i="53"/>
  <c r="D17" i="53"/>
  <c r="B18" i="53"/>
  <c r="A17" i="53"/>
  <c r="E17" i="52"/>
  <c r="D17" i="52"/>
  <c r="B18" i="52"/>
  <c r="A17" i="52"/>
  <c r="E18" i="51"/>
  <c r="A18" i="51"/>
  <c r="D18" i="51"/>
  <c r="B19" i="51"/>
  <c r="E17" i="50"/>
  <c r="D17" i="50"/>
  <c r="B18" i="50"/>
  <c r="A17" i="50"/>
  <c r="A19" i="60" l="1"/>
  <c r="B20" i="60"/>
  <c r="E19" i="60"/>
  <c r="D19" i="60"/>
  <c r="A19" i="59"/>
  <c r="B20" i="59"/>
  <c r="E19" i="59"/>
  <c r="D19" i="59"/>
  <c r="B19" i="58"/>
  <c r="E18" i="58"/>
  <c r="D18" i="58"/>
  <c r="A18" i="58"/>
  <c r="A19" i="57"/>
  <c r="E19" i="57"/>
  <c r="B20" i="57"/>
  <c r="D19" i="57"/>
  <c r="A19" i="56"/>
  <c r="B20" i="56"/>
  <c r="E19" i="56"/>
  <c r="D19" i="56"/>
  <c r="A19" i="54"/>
  <c r="B20" i="54"/>
  <c r="E19" i="54"/>
  <c r="D19" i="54"/>
  <c r="A18" i="53"/>
  <c r="E18" i="53"/>
  <c r="D18" i="53"/>
  <c r="B19" i="53"/>
  <c r="E18" i="52"/>
  <c r="D18" i="52"/>
  <c r="B19" i="52"/>
  <c r="A18" i="52"/>
  <c r="A19" i="51"/>
  <c r="B20" i="51"/>
  <c r="E19" i="51"/>
  <c r="D19" i="51"/>
  <c r="E18" i="50"/>
  <c r="A18" i="50"/>
  <c r="B19" i="50"/>
  <c r="D18" i="50"/>
  <c r="A20" i="60" l="1"/>
  <c r="B21" i="60"/>
  <c r="E20" i="60"/>
  <c r="D20" i="60"/>
  <c r="D20" i="59"/>
  <c r="A20" i="59"/>
  <c r="B21" i="59"/>
  <c r="E20" i="59"/>
  <c r="A19" i="58"/>
  <c r="E19" i="58"/>
  <c r="B20" i="58"/>
  <c r="D19" i="58"/>
  <c r="A20" i="57"/>
  <c r="B21" i="57"/>
  <c r="E20" i="57"/>
  <c r="D20" i="57"/>
  <c r="A20" i="56"/>
  <c r="B21" i="56"/>
  <c r="E20" i="56"/>
  <c r="D20" i="56"/>
  <c r="D20" i="54"/>
  <c r="A20" i="54"/>
  <c r="B21" i="54"/>
  <c r="E20" i="54"/>
  <c r="A19" i="53"/>
  <c r="B20" i="53"/>
  <c r="E19" i="53"/>
  <c r="D19" i="53"/>
  <c r="A19" i="52"/>
  <c r="B20" i="52"/>
  <c r="E19" i="52"/>
  <c r="D19" i="52"/>
  <c r="D20" i="51"/>
  <c r="A20" i="51"/>
  <c r="B21" i="51"/>
  <c r="E20" i="51"/>
  <c r="A19" i="50"/>
  <c r="B20" i="50"/>
  <c r="E19" i="50"/>
  <c r="D19" i="50"/>
  <c r="D21" i="60" l="1"/>
  <c r="E21" i="60"/>
  <c r="A21" i="60"/>
  <c r="B22" i="60"/>
  <c r="D21" i="59"/>
  <c r="A21" i="59"/>
  <c r="E21" i="59"/>
  <c r="B22" i="59"/>
  <c r="B21" i="58"/>
  <c r="A20" i="58"/>
  <c r="E20" i="58"/>
  <c r="D20" i="58"/>
  <c r="D21" i="57"/>
  <c r="A21" i="57"/>
  <c r="B22" i="57"/>
  <c r="E21" i="57"/>
  <c r="D21" i="56"/>
  <c r="A21" i="56"/>
  <c r="B22" i="56"/>
  <c r="E21" i="56"/>
  <c r="D21" i="54"/>
  <c r="E21" i="54"/>
  <c r="A21" i="54"/>
  <c r="B22" i="54"/>
  <c r="D20" i="53"/>
  <c r="A20" i="53"/>
  <c r="B21" i="53"/>
  <c r="E20" i="53"/>
  <c r="A20" i="52"/>
  <c r="B21" i="52"/>
  <c r="E20" i="52"/>
  <c r="D20" i="52"/>
  <c r="D21" i="51"/>
  <c r="E21" i="51"/>
  <c r="A21" i="51"/>
  <c r="B22" i="51"/>
  <c r="D20" i="50"/>
  <c r="A20" i="50"/>
  <c r="B21" i="50"/>
  <c r="E20" i="50"/>
  <c r="B23" i="60" l="1"/>
  <c r="E22" i="60"/>
  <c r="D22" i="60"/>
  <c r="A22" i="60"/>
  <c r="A22" i="59"/>
  <c r="E22" i="59"/>
  <c r="D22" i="59"/>
  <c r="B23" i="59"/>
  <c r="D21" i="58"/>
  <c r="A21" i="58"/>
  <c r="E21" i="58"/>
  <c r="B22" i="58"/>
  <c r="E22" i="57"/>
  <c r="D22" i="57"/>
  <c r="A22" i="57"/>
  <c r="B23" i="57"/>
  <c r="E22" i="56"/>
  <c r="D22" i="56"/>
  <c r="A22" i="56"/>
  <c r="B23" i="56"/>
  <c r="E22" i="54"/>
  <c r="A22" i="54"/>
  <c r="B23" i="54"/>
  <c r="D22" i="54"/>
  <c r="D21" i="53"/>
  <c r="A21" i="53"/>
  <c r="E21" i="53"/>
  <c r="B22" i="53"/>
  <c r="D21" i="52"/>
  <c r="E21" i="52"/>
  <c r="A21" i="52"/>
  <c r="B22" i="52"/>
  <c r="E22" i="51"/>
  <c r="B23" i="51"/>
  <c r="D22" i="51"/>
  <c r="A22" i="51"/>
  <c r="D21" i="50"/>
  <c r="B22" i="50"/>
  <c r="A21" i="50"/>
  <c r="E21" i="50"/>
  <c r="A23" i="60" l="1"/>
  <c r="B24" i="60"/>
  <c r="E23" i="60"/>
  <c r="D23" i="60"/>
  <c r="A23" i="59"/>
  <c r="B24" i="59"/>
  <c r="E23" i="59"/>
  <c r="D23" i="59"/>
  <c r="E22" i="58"/>
  <c r="D22" i="58"/>
  <c r="B23" i="58"/>
  <c r="A22" i="58"/>
  <c r="A23" i="57"/>
  <c r="B24" i="57"/>
  <c r="E23" i="57"/>
  <c r="D23" i="57"/>
  <c r="A23" i="56"/>
  <c r="B24" i="56"/>
  <c r="E23" i="56"/>
  <c r="D23" i="56"/>
  <c r="A23" i="54"/>
  <c r="B24" i="54"/>
  <c r="E23" i="54"/>
  <c r="D23" i="54"/>
  <c r="B23" i="53"/>
  <c r="E22" i="53"/>
  <c r="D22" i="53"/>
  <c r="A22" i="53"/>
  <c r="E22" i="52"/>
  <c r="D22" i="52"/>
  <c r="B23" i="52"/>
  <c r="A22" i="52"/>
  <c r="A23" i="51"/>
  <c r="B24" i="51"/>
  <c r="E23" i="51"/>
  <c r="D23" i="51"/>
  <c r="E22" i="50"/>
  <c r="D22" i="50"/>
  <c r="A22" i="50"/>
  <c r="B23" i="50"/>
  <c r="D24" i="60" l="1"/>
  <c r="A24" i="60"/>
  <c r="B25" i="60"/>
  <c r="E24" i="60"/>
  <c r="A24" i="59"/>
  <c r="B25" i="59"/>
  <c r="D24" i="59"/>
  <c r="E24" i="59"/>
  <c r="A23" i="58"/>
  <c r="B24" i="58"/>
  <c r="E23" i="58"/>
  <c r="D23" i="58"/>
  <c r="B25" i="57"/>
  <c r="A24" i="57"/>
  <c r="E24" i="57"/>
  <c r="D24" i="57"/>
  <c r="A24" i="56"/>
  <c r="B25" i="56"/>
  <c r="E24" i="56"/>
  <c r="D24" i="56"/>
  <c r="D24" i="54"/>
  <c r="A24" i="54"/>
  <c r="B25" i="54"/>
  <c r="E24" i="54"/>
  <c r="A23" i="53"/>
  <c r="B24" i="53"/>
  <c r="E23" i="53"/>
  <c r="D23" i="53"/>
  <c r="A23" i="52"/>
  <c r="B24" i="52"/>
  <c r="D23" i="52"/>
  <c r="E23" i="52"/>
  <c r="A24" i="51"/>
  <c r="B25" i="51"/>
  <c r="D24" i="51"/>
  <c r="E24" i="51"/>
  <c r="A23" i="50"/>
  <c r="B24" i="50"/>
  <c r="E23" i="50"/>
  <c r="D23" i="50"/>
  <c r="D25" i="60" l="1"/>
  <c r="A25" i="60"/>
  <c r="E25" i="60"/>
  <c r="B26" i="60"/>
  <c r="D25" i="59"/>
  <c r="A25" i="59"/>
  <c r="E25" i="59"/>
  <c r="B26" i="59"/>
  <c r="B25" i="58"/>
  <c r="A24" i="58"/>
  <c r="E24" i="58"/>
  <c r="D24" i="58"/>
  <c r="D25" i="57"/>
  <c r="A25" i="57"/>
  <c r="B26" i="57"/>
  <c r="E25" i="57"/>
  <c r="D25" i="56"/>
  <c r="E25" i="56"/>
  <c r="A25" i="56"/>
  <c r="B26" i="56"/>
  <c r="D25" i="54"/>
  <c r="E25" i="54"/>
  <c r="A25" i="54"/>
  <c r="B26" i="54"/>
  <c r="A24" i="53"/>
  <c r="B25" i="53"/>
  <c r="D24" i="53"/>
  <c r="E24" i="53"/>
  <c r="A24" i="52"/>
  <c r="B25" i="52"/>
  <c r="E24" i="52"/>
  <c r="D24" i="52"/>
  <c r="D25" i="51"/>
  <c r="E25" i="51"/>
  <c r="A25" i="51"/>
  <c r="B26" i="51"/>
  <c r="E24" i="50"/>
  <c r="A24" i="50"/>
  <c r="D24" i="50"/>
  <c r="B25" i="50"/>
  <c r="E26" i="60" l="1"/>
  <c r="A26" i="60"/>
  <c r="D26" i="60"/>
  <c r="B27" i="60"/>
  <c r="E26" i="59"/>
  <c r="D26" i="59"/>
  <c r="A26" i="59"/>
  <c r="B27" i="59"/>
  <c r="D25" i="58"/>
  <c r="E25" i="58"/>
  <c r="A25" i="58"/>
  <c r="B26" i="58"/>
  <c r="E26" i="57"/>
  <c r="D26" i="57"/>
  <c r="B27" i="57"/>
  <c r="A26" i="57"/>
  <c r="E26" i="56"/>
  <c r="D26" i="56"/>
  <c r="B27" i="56"/>
  <c r="A26" i="56"/>
  <c r="E26" i="54"/>
  <c r="A26" i="54"/>
  <c r="D26" i="54"/>
  <c r="B27" i="54"/>
  <c r="D25" i="53"/>
  <c r="E25" i="53"/>
  <c r="A25" i="53"/>
  <c r="B26" i="53"/>
  <c r="D25" i="52"/>
  <c r="E25" i="52"/>
  <c r="A25" i="52"/>
  <c r="B26" i="52"/>
  <c r="E26" i="51"/>
  <c r="A26" i="51"/>
  <c r="D26" i="51"/>
  <c r="B27" i="51"/>
  <c r="D25" i="50"/>
  <c r="A25" i="50"/>
  <c r="B26" i="50"/>
  <c r="E25" i="50"/>
  <c r="A27" i="60" l="1"/>
  <c r="B28" i="60"/>
  <c r="E27" i="60"/>
  <c r="D27" i="60"/>
  <c r="A27" i="59"/>
  <c r="B28" i="59"/>
  <c r="E27" i="59"/>
  <c r="D27" i="59"/>
  <c r="E26" i="58"/>
  <c r="D26" i="58"/>
  <c r="B27" i="58"/>
  <c r="A26" i="58"/>
  <c r="A27" i="57"/>
  <c r="B28" i="57"/>
  <c r="E27" i="57"/>
  <c r="D27" i="57"/>
  <c r="A27" i="56"/>
  <c r="B28" i="56"/>
  <c r="E27" i="56"/>
  <c r="D27" i="56"/>
  <c r="A27" i="54"/>
  <c r="B28" i="54"/>
  <c r="E27" i="54"/>
  <c r="D27" i="54"/>
  <c r="E26" i="53"/>
  <c r="D26" i="53"/>
  <c r="A26" i="53"/>
  <c r="B27" i="53"/>
  <c r="E26" i="52"/>
  <c r="D26" i="52"/>
  <c r="A26" i="52"/>
  <c r="B27" i="52"/>
  <c r="A27" i="51"/>
  <c r="B28" i="51"/>
  <c r="E27" i="51"/>
  <c r="D27" i="51"/>
  <c r="E26" i="50"/>
  <c r="D26" i="50"/>
  <c r="A26" i="50"/>
  <c r="B27" i="50"/>
  <c r="D28" i="60" l="1"/>
  <c r="A28" i="60"/>
  <c r="B29" i="60"/>
  <c r="E28" i="60"/>
  <c r="D28" i="59"/>
  <c r="A28" i="59"/>
  <c r="B29" i="59"/>
  <c r="E28" i="59"/>
  <c r="A27" i="58"/>
  <c r="B28" i="58"/>
  <c r="E27" i="58"/>
  <c r="D27" i="58"/>
  <c r="A28" i="57"/>
  <c r="B29" i="57"/>
  <c r="E28" i="57"/>
  <c r="D28" i="57"/>
  <c r="A28" i="56"/>
  <c r="B29" i="56"/>
  <c r="E28" i="56"/>
  <c r="D28" i="56"/>
  <c r="D28" i="54"/>
  <c r="A28" i="54"/>
  <c r="B29" i="54"/>
  <c r="E28" i="54"/>
  <c r="A27" i="53"/>
  <c r="B28" i="53"/>
  <c r="E27" i="53"/>
  <c r="D27" i="53"/>
  <c r="A27" i="52"/>
  <c r="B28" i="52"/>
  <c r="D27" i="52"/>
  <c r="E27" i="52"/>
  <c r="A28" i="51"/>
  <c r="B29" i="51"/>
  <c r="E28" i="51"/>
  <c r="D28" i="51"/>
  <c r="A27" i="50"/>
  <c r="B28" i="50"/>
  <c r="E27" i="50"/>
  <c r="D27" i="50"/>
  <c r="D29" i="60" l="1"/>
  <c r="A29" i="60"/>
  <c r="B30" i="60"/>
  <c r="E29" i="60"/>
  <c r="D29" i="59"/>
  <c r="E29" i="59"/>
  <c r="A29" i="59"/>
  <c r="B30" i="59"/>
  <c r="B29" i="58"/>
  <c r="A28" i="58"/>
  <c r="E28" i="58"/>
  <c r="D28" i="58"/>
  <c r="D29" i="57"/>
  <c r="A29" i="57"/>
  <c r="B30" i="57"/>
  <c r="E29" i="57"/>
  <c r="D29" i="56"/>
  <c r="E29" i="56"/>
  <c r="A29" i="56"/>
  <c r="B30" i="56"/>
  <c r="D29" i="54"/>
  <c r="E29" i="54"/>
  <c r="A29" i="54"/>
  <c r="B30" i="54"/>
  <c r="A28" i="53"/>
  <c r="B29" i="53"/>
  <c r="D28" i="53"/>
  <c r="E28" i="53"/>
  <c r="A28" i="52"/>
  <c r="B29" i="52"/>
  <c r="E28" i="52"/>
  <c r="D28" i="52"/>
  <c r="D29" i="51"/>
  <c r="E29" i="51"/>
  <c r="A29" i="51"/>
  <c r="B30" i="51"/>
  <c r="E28" i="50"/>
  <c r="A28" i="50"/>
  <c r="D28" i="50"/>
  <c r="B29" i="50"/>
  <c r="E30" i="60" l="1"/>
  <c r="A30" i="60"/>
  <c r="B31" i="60"/>
  <c r="D30" i="60"/>
  <c r="E30" i="59"/>
  <c r="B31" i="59"/>
  <c r="D30" i="59"/>
  <c r="A30" i="59"/>
  <c r="D29" i="58"/>
  <c r="E29" i="58"/>
  <c r="A29" i="58"/>
  <c r="B30" i="58"/>
  <c r="E30" i="57"/>
  <c r="D30" i="57"/>
  <c r="A30" i="57"/>
  <c r="B31" i="57"/>
  <c r="B31" i="56"/>
  <c r="E30" i="56"/>
  <c r="D30" i="56"/>
  <c r="A30" i="56"/>
  <c r="A30" i="54"/>
  <c r="B31" i="54"/>
  <c r="E30" i="54"/>
  <c r="D30" i="54"/>
  <c r="D29" i="53"/>
  <c r="A29" i="53"/>
  <c r="E29" i="53"/>
  <c r="B30" i="53"/>
  <c r="D29" i="52"/>
  <c r="A29" i="52"/>
  <c r="B30" i="52"/>
  <c r="E29" i="52"/>
  <c r="E30" i="51"/>
  <c r="D30" i="51"/>
  <c r="A30" i="51"/>
  <c r="B31" i="51"/>
  <c r="D29" i="50"/>
  <c r="A29" i="50"/>
  <c r="B30" i="50"/>
  <c r="E29" i="50"/>
  <c r="A31" i="60" l="1"/>
  <c r="B32" i="60"/>
  <c r="E31" i="60"/>
  <c r="D31" i="60"/>
  <c r="A31" i="59"/>
  <c r="B32" i="59"/>
  <c r="E31" i="59"/>
  <c r="D31" i="59"/>
  <c r="B31" i="58"/>
  <c r="E30" i="58"/>
  <c r="D30" i="58"/>
  <c r="A30" i="58"/>
  <c r="A31" i="57"/>
  <c r="D31" i="57"/>
  <c r="B32" i="57"/>
  <c r="E31" i="57"/>
  <c r="A31" i="56"/>
  <c r="B32" i="56"/>
  <c r="E31" i="56"/>
  <c r="D31" i="56"/>
  <c r="A31" i="54"/>
  <c r="B32" i="54"/>
  <c r="E31" i="54"/>
  <c r="D31" i="54"/>
  <c r="E30" i="53"/>
  <c r="D30" i="53"/>
  <c r="B31" i="53"/>
  <c r="A30" i="53"/>
  <c r="E30" i="52"/>
  <c r="D30" i="52"/>
  <c r="A30" i="52"/>
  <c r="B31" i="52"/>
  <c r="A31" i="51"/>
  <c r="B32" i="51"/>
  <c r="E31" i="51"/>
  <c r="D31" i="51"/>
  <c r="E30" i="50"/>
  <c r="A30" i="50"/>
  <c r="D30" i="50"/>
  <c r="B31" i="50"/>
  <c r="A32" i="60" l="1"/>
  <c r="B33" i="60"/>
  <c r="D32" i="60"/>
  <c r="E32" i="60"/>
  <c r="A32" i="59"/>
  <c r="D32" i="59"/>
  <c r="B33" i="59"/>
  <c r="E32" i="59"/>
  <c r="A31" i="58"/>
  <c r="E31" i="58"/>
  <c r="B32" i="58"/>
  <c r="D31" i="58"/>
  <c r="A32" i="57"/>
  <c r="B33" i="57"/>
  <c r="E32" i="57"/>
  <c r="D32" i="57"/>
  <c r="A32" i="56"/>
  <c r="B33" i="56"/>
  <c r="E32" i="56"/>
  <c r="D32" i="56"/>
  <c r="A32" i="54"/>
  <c r="B33" i="54"/>
  <c r="E32" i="54"/>
  <c r="D32" i="54"/>
  <c r="A31" i="53"/>
  <c r="B32" i="53"/>
  <c r="E31" i="53"/>
  <c r="D31" i="53"/>
  <c r="A31" i="52"/>
  <c r="B32" i="52"/>
  <c r="D31" i="52"/>
  <c r="E31" i="52"/>
  <c r="A32" i="51"/>
  <c r="B33" i="51"/>
  <c r="D32" i="51"/>
  <c r="E32" i="51"/>
  <c r="A31" i="50"/>
  <c r="B32" i="50"/>
  <c r="E31" i="50"/>
  <c r="D31" i="50"/>
  <c r="D33" i="60" l="1"/>
  <c r="E33" i="60"/>
  <c r="A33" i="60"/>
  <c r="B34" i="60"/>
  <c r="D33" i="59"/>
  <c r="E33" i="59"/>
  <c r="A33" i="59"/>
  <c r="B34" i="59"/>
  <c r="B33" i="58"/>
  <c r="A32" i="58"/>
  <c r="D32" i="58"/>
  <c r="E32" i="58"/>
  <c r="D33" i="57"/>
  <c r="A33" i="57"/>
  <c r="B34" i="57"/>
  <c r="E33" i="57"/>
  <c r="D33" i="56"/>
  <c r="A33" i="56"/>
  <c r="E33" i="56"/>
  <c r="B34" i="56"/>
  <c r="D33" i="54"/>
  <c r="A33" i="54"/>
  <c r="B34" i="54"/>
  <c r="E33" i="54"/>
  <c r="A32" i="53"/>
  <c r="B33" i="53"/>
  <c r="D32" i="53"/>
  <c r="E32" i="53"/>
  <c r="A32" i="52"/>
  <c r="B33" i="52"/>
  <c r="E32" i="52"/>
  <c r="D32" i="52"/>
  <c r="D33" i="51"/>
  <c r="A33" i="51"/>
  <c r="E33" i="51"/>
  <c r="B34" i="51"/>
  <c r="A32" i="50"/>
  <c r="B33" i="50"/>
  <c r="E32" i="50"/>
  <c r="D32" i="50"/>
  <c r="E34" i="60" l="1"/>
  <c r="D34" i="60"/>
  <c r="A34" i="60"/>
  <c r="B35" i="60"/>
  <c r="E34" i="59"/>
  <c r="D34" i="59"/>
  <c r="B35" i="59"/>
  <c r="A34" i="59"/>
  <c r="D33" i="58"/>
  <c r="E33" i="58"/>
  <c r="A33" i="58"/>
  <c r="B34" i="58"/>
  <c r="E34" i="57"/>
  <c r="D34" i="57"/>
  <c r="B35" i="57"/>
  <c r="A34" i="57"/>
  <c r="E34" i="56"/>
  <c r="D34" i="56"/>
  <c r="B35" i="56"/>
  <c r="A34" i="56"/>
  <c r="E34" i="54"/>
  <c r="D34" i="54"/>
  <c r="A34" i="54"/>
  <c r="B35" i="54"/>
  <c r="D33" i="53"/>
  <c r="A33" i="53"/>
  <c r="B34" i="53"/>
  <c r="E33" i="53"/>
  <c r="D33" i="52"/>
  <c r="A33" i="52"/>
  <c r="B34" i="52"/>
  <c r="E33" i="52"/>
  <c r="B35" i="51"/>
  <c r="E34" i="51"/>
  <c r="D34" i="51"/>
  <c r="A34" i="51"/>
  <c r="D33" i="50"/>
  <c r="E33" i="50"/>
  <c r="A33" i="50"/>
  <c r="B34" i="50"/>
  <c r="A35" i="60" l="1"/>
  <c r="B36" i="60"/>
  <c r="E35" i="60"/>
  <c r="D35" i="60"/>
  <c r="A35" i="59"/>
  <c r="B36" i="59"/>
  <c r="E35" i="59"/>
  <c r="D35" i="59"/>
  <c r="E34" i="58"/>
  <c r="B35" i="58"/>
  <c r="D34" i="58"/>
  <c r="A34" i="58"/>
  <c r="A35" i="57"/>
  <c r="D35" i="57"/>
  <c r="B36" i="57"/>
  <c r="E35" i="57"/>
  <c r="A35" i="56"/>
  <c r="B36" i="56"/>
  <c r="E35" i="56"/>
  <c r="D35" i="56"/>
  <c r="A35" i="54"/>
  <c r="B36" i="54"/>
  <c r="E35" i="54"/>
  <c r="D35" i="54"/>
  <c r="B35" i="53"/>
  <c r="E34" i="53"/>
  <c r="D34" i="53"/>
  <c r="A34" i="53"/>
  <c r="E34" i="52"/>
  <c r="D34" i="52"/>
  <c r="A34" i="52"/>
  <c r="B35" i="52"/>
  <c r="A35" i="51"/>
  <c r="B36" i="51"/>
  <c r="E35" i="51"/>
  <c r="D35" i="51"/>
  <c r="E34" i="50"/>
  <c r="D34" i="50"/>
  <c r="A34" i="50"/>
  <c r="B35" i="50"/>
  <c r="D36" i="60" l="1"/>
  <c r="A36" i="60"/>
  <c r="B37" i="60"/>
  <c r="E36" i="60"/>
  <c r="A36" i="59"/>
  <c r="B37" i="59"/>
  <c r="D36" i="59"/>
  <c r="E36" i="59"/>
  <c r="A35" i="58"/>
  <c r="E35" i="58"/>
  <c r="B36" i="58"/>
  <c r="D35" i="58"/>
  <c r="A36" i="57"/>
  <c r="B37" i="57"/>
  <c r="E36" i="57"/>
  <c r="D36" i="57"/>
  <c r="A36" i="56"/>
  <c r="B37" i="56"/>
  <c r="E36" i="56"/>
  <c r="D36" i="56"/>
  <c r="A36" i="54"/>
  <c r="B37" i="54"/>
  <c r="E36" i="54"/>
  <c r="D36" i="54"/>
  <c r="A35" i="53"/>
  <c r="B36" i="53"/>
  <c r="E35" i="53"/>
  <c r="D35" i="53"/>
  <c r="A35" i="52"/>
  <c r="B36" i="52"/>
  <c r="D35" i="52"/>
  <c r="E35" i="52"/>
  <c r="D36" i="51"/>
  <c r="A36" i="51"/>
  <c r="B37" i="51"/>
  <c r="E36" i="51"/>
  <c r="A35" i="50"/>
  <c r="B36" i="50"/>
  <c r="E35" i="50"/>
  <c r="D35" i="50"/>
  <c r="D37" i="60" l="1"/>
  <c r="E37" i="60"/>
  <c r="A37" i="60"/>
  <c r="B38" i="60"/>
  <c r="D37" i="59"/>
  <c r="E37" i="59"/>
  <c r="A37" i="59"/>
  <c r="A36" i="58"/>
  <c r="B37" i="58"/>
  <c r="E36" i="58"/>
  <c r="D36" i="58"/>
  <c r="D37" i="57"/>
  <c r="A37" i="57"/>
  <c r="E37" i="57"/>
  <c r="D37" i="56"/>
  <c r="A37" i="56"/>
  <c r="E37" i="56"/>
  <c r="B38" i="56"/>
  <c r="D37" i="54"/>
  <c r="A37" i="54"/>
  <c r="B38" i="54"/>
  <c r="E37" i="54"/>
  <c r="A36" i="53"/>
  <c r="B37" i="53"/>
  <c r="D36" i="53"/>
  <c r="E36" i="53"/>
  <c r="A36" i="52"/>
  <c r="B37" i="52"/>
  <c r="E36" i="52"/>
  <c r="D36" i="52"/>
  <c r="D37" i="51"/>
  <c r="E37" i="51"/>
  <c r="A37" i="51"/>
  <c r="D36" i="50"/>
  <c r="A36" i="50"/>
  <c r="B37" i="50"/>
  <c r="E36" i="50"/>
  <c r="E38" i="60" l="1"/>
  <c r="D38" i="60"/>
  <c r="A38" i="60"/>
  <c r="D37" i="58"/>
  <c r="E37" i="58"/>
  <c r="A37" i="58"/>
  <c r="B38" i="58"/>
  <c r="E38" i="56"/>
  <c r="D38" i="56"/>
  <c r="A38" i="56"/>
  <c r="A38" i="54"/>
  <c r="E38" i="54"/>
  <c r="D38" i="54"/>
  <c r="D37" i="53"/>
  <c r="E37" i="53"/>
  <c r="A37" i="53"/>
  <c r="D37" i="52"/>
  <c r="A37" i="52"/>
  <c r="B38" i="52"/>
  <c r="E37" i="52"/>
  <c r="D37" i="50"/>
  <c r="E37" i="50"/>
  <c r="A37" i="50"/>
  <c r="B38" i="50"/>
  <c r="E38" i="58" l="1"/>
  <c r="D38" i="58"/>
  <c r="A38" i="58"/>
  <c r="E38" i="52"/>
  <c r="D38" i="52"/>
  <c r="A38" i="52"/>
  <c r="E38" i="50"/>
  <c r="D38" i="50"/>
  <c r="A38" i="50"/>
  <c r="B4" i="39" l="1"/>
  <c r="M36" i="39" l="1"/>
  <c r="N36" i="39" s="1"/>
  <c r="K8" i="39"/>
  <c r="K8" i="22"/>
  <c r="AT6" i="1"/>
  <c r="AT7" i="1"/>
  <c r="AT5" i="1"/>
  <c r="AH8" i="1"/>
  <c r="AI8" i="1" s="1"/>
  <c r="O36" i="39" l="1"/>
  <c r="P36" i="39" s="1"/>
  <c r="Q36" i="39" s="1"/>
  <c r="AT8" i="1"/>
  <c r="AK8" i="1"/>
  <c r="AJ8" i="1"/>
  <c r="AL14" i="1" l="1"/>
  <c r="AK13" i="1"/>
  <c r="AK16" i="1" s="1"/>
  <c r="AK21" i="1" s="1"/>
  <c r="AK17" i="1" l="1"/>
  <c r="AK25" i="1" s="1"/>
  <c r="AK14" i="1"/>
  <c r="AK18" i="1"/>
  <c r="AK22" i="1"/>
  <c r="AK19" i="1"/>
  <c r="AK24" i="1" l="1"/>
  <c r="AK23" i="1"/>
  <c r="AK26" i="1" l="1"/>
  <c r="AK27" i="1" s="1"/>
  <c r="AK29" i="1" s="1"/>
  <c r="AK32" i="1" s="1"/>
  <c r="AK28" i="1" l="1"/>
  <c r="AK30" i="1" l="1"/>
  <c r="AK33" i="1"/>
  <c r="AM38" i="1" l="1"/>
  <c r="AL38" i="1"/>
  <c r="B35" i="1" s="1"/>
  <c r="AL37" i="1" l="1"/>
  <c r="B34" i="1" s="1"/>
  <c r="AL40" i="1"/>
  <c r="AL41" i="1" s="1"/>
  <c r="AL42" i="1" s="1"/>
  <c r="AL36" i="1"/>
  <c r="B33" i="1" s="1"/>
  <c r="AL39" i="1"/>
  <c r="B36" i="1" s="1"/>
  <c r="AM49" i="1"/>
  <c r="AM43" i="1"/>
  <c r="AM48" i="1"/>
  <c r="AM37" i="1"/>
  <c r="AM36" i="1"/>
  <c r="AM46" i="1"/>
  <c r="AM39" i="1"/>
  <c r="AL44" i="1" l="1"/>
  <c r="AL45" i="1" s="1"/>
  <c r="AL43" i="1"/>
  <c r="AL47" i="1" l="1"/>
  <c r="AL48" i="1" s="1"/>
  <c r="AL46" i="1"/>
  <c r="B37" i="1" s="1"/>
  <c r="AL49" i="1" l="1"/>
  <c r="B39" i="1" s="1"/>
  <c r="B38" i="1"/>
  <c r="B31" i="1" l="1"/>
  <c r="B32" i="1"/>
  <c r="B16" i="1"/>
  <c r="B8" i="39"/>
  <c r="A8" i="39" s="1"/>
  <c r="M35" i="39"/>
  <c r="M34" i="39"/>
  <c r="M33" i="39"/>
  <c r="M32" i="39"/>
  <c r="M31" i="39"/>
  <c r="N31" i="39" s="1"/>
  <c r="M30" i="39"/>
  <c r="M29" i="39"/>
  <c r="N29" i="39" s="1"/>
  <c r="M28" i="39"/>
  <c r="M27" i="39"/>
  <c r="M26" i="39"/>
  <c r="M24" i="39"/>
  <c r="M23" i="39"/>
  <c r="N23" i="39" s="1"/>
  <c r="M22" i="39"/>
  <c r="M21" i="39"/>
  <c r="M20" i="39"/>
  <c r="M18" i="39"/>
  <c r="W16" i="39"/>
  <c r="M16" i="39"/>
  <c r="M14" i="39"/>
  <c r="N14" i="39" s="1"/>
  <c r="M13" i="39"/>
  <c r="M12" i="39"/>
  <c r="N12" i="39" s="1"/>
  <c r="M11" i="39"/>
  <c r="O11" i="39" s="1"/>
  <c r="P11" i="39" s="1"/>
  <c r="W10" i="39"/>
  <c r="W15" i="39" s="1"/>
  <c r="M10" i="39"/>
  <c r="M9" i="39"/>
  <c r="W8" i="39"/>
  <c r="W9" i="39" s="1"/>
  <c r="B8" i="22"/>
  <c r="D8" i="22" s="1"/>
  <c r="B4" i="22"/>
  <c r="C9" i="59" l="1" a="1"/>
  <c r="C9" i="59" s="1"/>
  <c r="G9" i="59" s="1"/>
  <c r="C8" i="52" a="1"/>
  <c r="C8" i="52" s="1"/>
  <c r="G8" i="52" s="1"/>
  <c r="C8" i="60" a="1"/>
  <c r="C8" i="60" s="1"/>
  <c r="G8" i="60" s="1"/>
  <c r="C9" i="60" a="1"/>
  <c r="C9" i="60" s="1"/>
  <c r="G9" i="60" s="1"/>
  <c r="C8" i="54" a="1"/>
  <c r="C8" i="54" s="1"/>
  <c r="G8" i="54" s="1"/>
  <c r="L8" i="54" s="1"/>
  <c r="M8" i="54" s="1"/>
  <c r="C8" i="57" a="1"/>
  <c r="C8" i="57" s="1"/>
  <c r="G8" i="57" s="1"/>
  <c r="C8" i="56" a="1"/>
  <c r="C8" i="56" s="1"/>
  <c r="G8" i="56" s="1"/>
  <c r="C9" i="51" a="1"/>
  <c r="C9" i="51" s="1"/>
  <c r="G9" i="51" s="1"/>
  <c r="C8" i="50" a="1"/>
  <c r="C8" i="50" s="1"/>
  <c r="G8" i="50" s="1"/>
  <c r="C8" i="51" a="1"/>
  <c r="C8" i="51" s="1"/>
  <c r="G8" i="51" s="1"/>
  <c r="C9" i="54" a="1"/>
  <c r="C9" i="54" s="1"/>
  <c r="G9" i="54" s="1"/>
  <c r="L9" i="54" s="1"/>
  <c r="M9" i="54" s="1"/>
  <c r="C8" i="59" a="1"/>
  <c r="C8" i="59" s="1"/>
  <c r="G8" i="59" s="1"/>
  <c r="C9" i="56" a="1"/>
  <c r="C9" i="56" s="1"/>
  <c r="G9" i="56" s="1"/>
  <c r="C8" i="58" a="1"/>
  <c r="C8" i="58" s="1"/>
  <c r="G8" i="58" s="1"/>
  <c r="C9" i="57" a="1"/>
  <c r="C9" i="57" s="1"/>
  <c r="G9" i="57" s="1"/>
  <c r="C8" i="53" a="1"/>
  <c r="C8" i="53" s="1"/>
  <c r="G8" i="53" s="1"/>
  <c r="C10" i="51" a="1"/>
  <c r="C10" i="51" s="1"/>
  <c r="G10" i="51" s="1"/>
  <c r="C9" i="52" a="1"/>
  <c r="C9" i="52" s="1"/>
  <c r="G9" i="52" s="1"/>
  <c r="C9" i="58" a="1"/>
  <c r="C9" i="58" s="1"/>
  <c r="G9" i="58" s="1"/>
  <c r="C10" i="60" a="1"/>
  <c r="C10" i="60" s="1"/>
  <c r="G10" i="60" s="1"/>
  <c r="C10" i="54" a="1"/>
  <c r="C10" i="54" s="1"/>
  <c r="G10" i="54" s="1"/>
  <c r="L10" i="54" s="1"/>
  <c r="M10" i="54" s="1"/>
  <c r="C10" i="57" a="1"/>
  <c r="C10" i="57" s="1"/>
  <c r="G10" i="57" s="1"/>
  <c r="C10" i="59" a="1"/>
  <c r="C10" i="59" s="1"/>
  <c r="G10" i="59" s="1"/>
  <c r="C9" i="53" a="1"/>
  <c r="C9" i="53" s="1"/>
  <c r="G9" i="53" s="1"/>
  <c r="C9" i="50" a="1"/>
  <c r="C9" i="50" s="1"/>
  <c r="G9" i="50" s="1"/>
  <c r="C10" i="56" a="1"/>
  <c r="C10" i="56" s="1"/>
  <c r="G10" i="56" s="1"/>
  <c r="C11" i="60" a="1"/>
  <c r="C11" i="60" s="1"/>
  <c r="G11" i="60" s="1"/>
  <c r="C11" i="51" a="1"/>
  <c r="C11" i="51" s="1"/>
  <c r="G11" i="51" s="1"/>
  <c r="C10" i="53" a="1"/>
  <c r="C10" i="53" s="1"/>
  <c r="G10" i="53" s="1"/>
  <c r="C11" i="54" a="1"/>
  <c r="C11" i="54" s="1"/>
  <c r="G11" i="54" s="1"/>
  <c r="L11" i="54" s="1"/>
  <c r="M11" i="54" s="1"/>
  <c r="C10" i="58" a="1"/>
  <c r="C10" i="58" s="1"/>
  <c r="G10" i="58" s="1"/>
  <c r="C11" i="57" a="1"/>
  <c r="C11" i="57" s="1"/>
  <c r="G11" i="57" s="1"/>
  <c r="C11" i="56" a="1"/>
  <c r="C11" i="56" s="1"/>
  <c r="G11" i="56" s="1"/>
  <c r="C10" i="52" a="1"/>
  <c r="C10" i="52" s="1"/>
  <c r="G10" i="52" s="1"/>
  <c r="C10" i="50" a="1"/>
  <c r="C10" i="50" s="1"/>
  <c r="G10" i="50" s="1"/>
  <c r="L10" i="50" s="1"/>
  <c r="M10" i="50" s="1"/>
  <c r="C11" i="59" a="1"/>
  <c r="C11" i="59" s="1"/>
  <c r="G11" i="59" s="1"/>
  <c r="C11" i="50" a="1"/>
  <c r="C11" i="50" s="1"/>
  <c r="G11" i="50" s="1"/>
  <c r="L11" i="50" s="1"/>
  <c r="M11" i="50" s="1"/>
  <c r="C11" i="58" a="1"/>
  <c r="C11" i="58" s="1"/>
  <c r="G11" i="58" s="1"/>
  <c r="C11" i="53" a="1"/>
  <c r="C11" i="53" s="1"/>
  <c r="G11" i="53" s="1"/>
  <c r="C12" i="54" a="1"/>
  <c r="C12" i="54" s="1"/>
  <c r="G12" i="54" s="1"/>
  <c r="C12" i="60" a="1"/>
  <c r="C12" i="60" s="1"/>
  <c r="G12" i="60" s="1"/>
  <c r="C12" i="57" a="1"/>
  <c r="C12" i="57" s="1"/>
  <c r="G12" i="57" s="1"/>
  <c r="C11" i="52" a="1"/>
  <c r="C11" i="52" s="1"/>
  <c r="G11" i="52" s="1"/>
  <c r="C12" i="51" a="1"/>
  <c r="C12" i="51" s="1"/>
  <c r="G12" i="51" s="1"/>
  <c r="C12" i="59" a="1"/>
  <c r="C12" i="59" s="1"/>
  <c r="G12" i="59" s="1"/>
  <c r="C12" i="56" a="1"/>
  <c r="C12" i="56" s="1"/>
  <c r="G12" i="56" s="1"/>
  <c r="C13" i="57" a="1"/>
  <c r="C13" i="57" s="1"/>
  <c r="G13" i="57" s="1"/>
  <c r="C12" i="50" a="1"/>
  <c r="C12" i="50" s="1"/>
  <c r="G12" i="50" s="1"/>
  <c r="L12" i="50" s="1"/>
  <c r="M12" i="50" s="1"/>
  <c r="C13" i="54" a="1"/>
  <c r="C13" i="54" s="1"/>
  <c r="G13" i="54" s="1"/>
  <c r="C12" i="52" a="1"/>
  <c r="C12" i="52" s="1"/>
  <c r="G12" i="52" s="1"/>
  <c r="C12" i="53" a="1"/>
  <c r="C12" i="53" s="1"/>
  <c r="G12" i="53" s="1"/>
  <c r="C13" i="56" a="1"/>
  <c r="C13" i="56" s="1"/>
  <c r="G13" i="56" s="1"/>
  <c r="C13" i="51" a="1"/>
  <c r="C13" i="51" s="1"/>
  <c r="G13" i="51" s="1"/>
  <c r="C13" i="59" a="1"/>
  <c r="C13" i="59" s="1"/>
  <c r="G13" i="59" s="1"/>
  <c r="C12" i="58" a="1"/>
  <c r="C12" i="58" s="1"/>
  <c r="G12" i="58" s="1"/>
  <c r="C13" i="60" a="1"/>
  <c r="C13" i="60" s="1"/>
  <c r="G13" i="60" s="1"/>
  <c r="C14" i="59" a="1"/>
  <c r="C14" i="59" s="1"/>
  <c r="G14" i="59" s="1"/>
  <c r="C14" i="60" a="1"/>
  <c r="C14" i="60" s="1"/>
  <c r="G14" i="60" s="1"/>
  <c r="C13" i="52" a="1"/>
  <c r="C13" i="52" s="1"/>
  <c r="G13" i="52" s="1"/>
  <c r="C14" i="57" a="1"/>
  <c r="C14" i="57" s="1"/>
  <c r="G14" i="57" s="1"/>
  <c r="C14" i="54" a="1"/>
  <c r="C14" i="54" s="1"/>
  <c r="G14" i="54" s="1"/>
  <c r="L14" i="54" s="1"/>
  <c r="M14" i="54" s="1"/>
  <c r="C14" i="56" a="1"/>
  <c r="C14" i="56" s="1"/>
  <c r="G14" i="56" s="1"/>
  <c r="C14" i="51" a="1"/>
  <c r="C14" i="51" s="1"/>
  <c r="G14" i="51" s="1"/>
  <c r="C13" i="50" a="1"/>
  <c r="C13" i="50" s="1"/>
  <c r="G13" i="50" s="1"/>
  <c r="L13" i="50" s="1"/>
  <c r="M13" i="50" s="1"/>
  <c r="C13" i="58" a="1"/>
  <c r="C13" i="58" s="1"/>
  <c r="G13" i="58" s="1"/>
  <c r="C13" i="53" a="1"/>
  <c r="C13" i="53" s="1"/>
  <c r="G13" i="53" s="1"/>
  <c r="C15" i="54" a="1"/>
  <c r="C15" i="54" s="1"/>
  <c r="G15" i="54" s="1"/>
  <c r="L15" i="54" s="1"/>
  <c r="M15" i="54" s="1"/>
  <c r="C15" i="60" a="1"/>
  <c r="C15" i="60" s="1"/>
  <c r="G15" i="60" s="1"/>
  <c r="C14" i="52" a="1"/>
  <c r="C14" i="52" s="1"/>
  <c r="G14" i="52" s="1"/>
  <c r="C15" i="51" a="1"/>
  <c r="C15" i="51" s="1"/>
  <c r="G15" i="51" s="1"/>
  <c r="C15" i="56" a="1"/>
  <c r="C15" i="56" s="1"/>
  <c r="G15" i="56" s="1"/>
  <c r="C14" i="53" a="1"/>
  <c r="C14" i="53" s="1"/>
  <c r="G14" i="53" s="1"/>
  <c r="C15" i="59" a="1"/>
  <c r="C15" i="59" s="1"/>
  <c r="G15" i="59" s="1"/>
  <c r="C15" i="57" a="1"/>
  <c r="C15" i="57" s="1"/>
  <c r="G15" i="57" s="1"/>
  <c r="C14" i="50" a="1"/>
  <c r="C14" i="50" s="1"/>
  <c r="G14" i="50" s="1"/>
  <c r="L14" i="50" s="1"/>
  <c r="M14" i="50" s="1"/>
  <c r="C14" i="58" a="1"/>
  <c r="C14" i="58" s="1"/>
  <c r="G14" i="58" s="1"/>
  <c r="C16" i="59" a="1"/>
  <c r="C16" i="59" s="1"/>
  <c r="G16" i="59" s="1"/>
  <c r="C16" i="54" a="1"/>
  <c r="C16" i="54" s="1"/>
  <c r="G16" i="54" s="1"/>
  <c r="L16" i="54" s="1"/>
  <c r="M16" i="54" s="1"/>
  <c r="C16" i="56" a="1"/>
  <c r="C16" i="56" s="1"/>
  <c r="G16" i="56" s="1"/>
  <c r="C15" i="52" a="1"/>
  <c r="C15" i="52" s="1"/>
  <c r="G15" i="52" s="1"/>
  <c r="C16" i="57" a="1"/>
  <c r="C16" i="57" s="1"/>
  <c r="G16" i="57" s="1"/>
  <c r="C16" i="51" a="1"/>
  <c r="C16" i="51" s="1"/>
  <c r="G16" i="51" s="1"/>
  <c r="C15" i="50" a="1"/>
  <c r="C15" i="50" s="1"/>
  <c r="G15" i="50" s="1"/>
  <c r="C15" i="58" a="1"/>
  <c r="C15" i="58" s="1"/>
  <c r="G15" i="58" s="1"/>
  <c r="C15" i="53" a="1"/>
  <c r="C15" i="53" s="1"/>
  <c r="G15" i="53" s="1"/>
  <c r="C16" i="60" a="1"/>
  <c r="C16" i="60" s="1"/>
  <c r="G16" i="60" s="1"/>
  <c r="C17" i="59" a="1"/>
  <c r="C17" i="59" s="1"/>
  <c r="G17" i="59" s="1"/>
  <c r="C17" i="51" a="1"/>
  <c r="C17" i="51" s="1"/>
  <c r="G17" i="51" s="1"/>
  <c r="C17" i="56" a="1"/>
  <c r="C17" i="56" s="1"/>
  <c r="G17" i="56" s="1"/>
  <c r="C16" i="50" a="1"/>
  <c r="C16" i="50" s="1"/>
  <c r="G16" i="50" s="1"/>
  <c r="C16" i="58" a="1"/>
  <c r="C16" i="58" s="1"/>
  <c r="G16" i="58" s="1"/>
  <c r="C16" i="53" a="1"/>
  <c r="C16" i="53" s="1"/>
  <c r="G16" i="53" s="1"/>
  <c r="C17" i="60" a="1"/>
  <c r="C17" i="60" s="1"/>
  <c r="G17" i="60" s="1"/>
  <c r="C16" i="52" a="1"/>
  <c r="C16" i="52" s="1"/>
  <c r="G16" i="52" s="1"/>
  <c r="C17" i="54" a="1"/>
  <c r="C17" i="54" s="1"/>
  <c r="G17" i="54" s="1"/>
  <c r="L17" i="54" s="1"/>
  <c r="M17" i="54" s="1"/>
  <c r="C17" i="57" a="1"/>
  <c r="C17" i="57" s="1"/>
  <c r="G17" i="57" s="1"/>
  <c r="C17" i="52" a="1"/>
  <c r="C17" i="52" s="1"/>
  <c r="G17" i="52" s="1"/>
  <c r="C18" i="56" a="1"/>
  <c r="C18" i="56" s="1"/>
  <c r="G18" i="56" s="1"/>
  <c r="C17" i="58" a="1"/>
  <c r="C17" i="58" s="1"/>
  <c r="G17" i="58" s="1"/>
  <c r="C18" i="51" a="1"/>
  <c r="C18" i="51" s="1"/>
  <c r="G18" i="51" s="1"/>
  <c r="C17" i="53" a="1"/>
  <c r="C17" i="53" s="1"/>
  <c r="G17" i="53" s="1"/>
  <c r="C17" i="50" a="1"/>
  <c r="C17" i="50" s="1"/>
  <c r="G17" i="50" s="1"/>
  <c r="L17" i="50" s="1"/>
  <c r="M17" i="50" s="1"/>
  <c r="C18" i="54" a="1"/>
  <c r="C18" i="54" s="1"/>
  <c r="G18" i="54" s="1"/>
  <c r="L18" i="54" s="1"/>
  <c r="M18" i="54" s="1"/>
  <c r="C18" i="60" a="1"/>
  <c r="C18" i="60" s="1"/>
  <c r="G18" i="60" s="1"/>
  <c r="C18" i="59" a="1"/>
  <c r="C18" i="59" s="1"/>
  <c r="G18" i="59" s="1"/>
  <c r="C18" i="57" a="1"/>
  <c r="C18" i="57" s="1"/>
  <c r="G18" i="57" s="1"/>
  <c r="C19" i="60" a="1"/>
  <c r="C19" i="60" s="1"/>
  <c r="G19" i="60" s="1"/>
  <c r="C19" i="56" a="1"/>
  <c r="C19" i="56" s="1"/>
  <c r="G19" i="56" s="1"/>
  <c r="C19" i="54" a="1"/>
  <c r="C19" i="54" s="1"/>
  <c r="G19" i="54" s="1"/>
  <c r="C18" i="52" a="1"/>
  <c r="C18" i="52" s="1"/>
  <c r="G18" i="52" s="1"/>
  <c r="C19" i="51" a="1"/>
  <c r="C19" i="51" s="1"/>
  <c r="G19" i="51" s="1"/>
  <c r="C19" i="57" a="1"/>
  <c r="C19" i="57" s="1"/>
  <c r="G19" i="57" s="1"/>
  <c r="C18" i="50" a="1"/>
  <c r="C18" i="50" s="1"/>
  <c r="G18" i="50" s="1"/>
  <c r="L18" i="50" s="1"/>
  <c r="M18" i="50" s="1"/>
  <c r="C18" i="53" a="1"/>
  <c r="C18" i="53" s="1"/>
  <c r="G18" i="53" s="1"/>
  <c r="C19" i="59" a="1"/>
  <c r="C19" i="59" s="1"/>
  <c r="G19" i="59" s="1"/>
  <c r="C18" i="58" a="1"/>
  <c r="C18" i="58" s="1"/>
  <c r="G18" i="58" s="1"/>
  <c r="C20" i="60" a="1"/>
  <c r="C20" i="60" s="1"/>
  <c r="G20" i="60" s="1"/>
  <c r="C19" i="53" a="1"/>
  <c r="C19" i="53" s="1"/>
  <c r="G19" i="53" s="1"/>
  <c r="C20" i="51" a="1"/>
  <c r="C20" i="51" s="1"/>
  <c r="G20" i="51" s="1"/>
  <c r="C19" i="52" a="1"/>
  <c r="C19" i="52" s="1"/>
  <c r="G19" i="52" s="1"/>
  <c r="C20" i="56" a="1"/>
  <c r="C20" i="56" s="1"/>
  <c r="G20" i="56" s="1"/>
  <c r="C19" i="58" a="1"/>
  <c r="C19" i="58" s="1"/>
  <c r="G19" i="58" s="1"/>
  <c r="C20" i="57" a="1"/>
  <c r="C20" i="57" s="1"/>
  <c r="G20" i="57" s="1"/>
  <c r="C20" i="59" a="1"/>
  <c r="C20" i="59" s="1"/>
  <c r="G20" i="59" s="1"/>
  <c r="C20" i="54" a="1"/>
  <c r="C20" i="54" s="1"/>
  <c r="G20" i="54" s="1"/>
  <c r="C19" i="50" a="1"/>
  <c r="C19" i="50" s="1"/>
  <c r="G19" i="50" s="1"/>
  <c r="L19" i="50" s="1"/>
  <c r="M19" i="50" s="1"/>
  <c r="C20" i="53" a="1"/>
  <c r="C20" i="53" s="1"/>
  <c r="G20" i="53" s="1"/>
  <c r="C21" i="54" a="1"/>
  <c r="C21" i="54" s="1"/>
  <c r="G21" i="54" s="1"/>
  <c r="L21" i="54" s="1"/>
  <c r="M21" i="54" s="1"/>
  <c r="C21" i="59" a="1"/>
  <c r="C21" i="59" s="1"/>
  <c r="G21" i="59" s="1"/>
  <c r="C20" i="58" a="1"/>
  <c r="C20" i="58" s="1"/>
  <c r="G20" i="58" s="1"/>
  <c r="C21" i="57" a="1"/>
  <c r="C21" i="57" s="1"/>
  <c r="G21" i="57" s="1"/>
  <c r="C21" i="56" a="1"/>
  <c r="C21" i="56" s="1"/>
  <c r="G21" i="56" s="1"/>
  <c r="C21" i="51" a="1"/>
  <c r="C21" i="51" s="1"/>
  <c r="G21" i="51" s="1"/>
  <c r="C21" i="60" a="1"/>
  <c r="C21" i="60" s="1"/>
  <c r="G21" i="60" s="1"/>
  <c r="C20" i="52" a="1"/>
  <c r="C20" i="52" s="1"/>
  <c r="G20" i="52" s="1"/>
  <c r="C20" i="50" a="1"/>
  <c r="C20" i="50" s="1"/>
  <c r="G20" i="50" s="1"/>
  <c r="L20" i="50" s="1"/>
  <c r="M20" i="50" s="1"/>
  <c r="C21" i="58" a="1"/>
  <c r="C21" i="58" s="1"/>
  <c r="G21" i="58" s="1"/>
  <c r="C22" i="60" a="1"/>
  <c r="C22" i="60" s="1"/>
  <c r="G22" i="60" s="1"/>
  <c r="C22" i="54" a="1"/>
  <c r="C22" i="54" s="1"/>
  <c r="G22" i="54" s="1"/>
  <c r="L22" i="54" s="1"/>
  <c r="M22" i="54" s="1"/>
  <c r="C22" i="59" a="1"/>
  <c r="C22" i="59" s="1"/>
  <c r="G22" i="59" s="1"/>
  <c r="C21" i="53" a="1"/>
  <c r="C21" i="53" s="1"/>
  <c r="G21" i="53" s="1"/>
  <c r="C21" i="52" a="1"/>
  <c r="C21" i="52" s="1"/>
  <c r="G21" i="52" s="1"/>
  <c r="C22" i="51" a="1"/>
  <c r="C22" i="51" s="1"/>
  <c r="G22" i="51" s="1"/>
  <c r="C22" i="56" a="1"/>
  <c r="C22" i="56" s="1"/>
  <c r="G22" i="56" s="1"/>
  <c r="C21" i="50" a="1"/>
  <c r="C21" i="50" s="1"/>
  <c r="G21" i="50" s="1"/>
  <c r="L21" i="50" s="1"/>
  <c r="M21" i="50" s="1"/>
  <c r="C22" i="57" a="1"/>
  <c r="C22" i="57" s="1"/>
  <c r="G22" i="57" s="1"/>
  <c r="C23" i="60" a="1"/>
  <c r="C23" i="60" s="1"/>
  <c r="G23" i="60" s="1"/>
  <c r="C22" i="52" a="1"/>
  <c r="C22" i="52" s="1"/>
  <c r="G22" i="52" s="1"/>
  <c r="C23" i="54" a="1"/>
  <c r="C23" i="54" s="1"/>
  <c r="G23" i="54" s="1"/>
  <c r="L23" i="54" s="1"/>
  <c r="M23" i="54" s="1"/>
  <c r="C23" i="57" a="1"/>
  <c r="C23" i="57" s="1"/>
  <c r="G23" i="57" s="1"/>
  <c r="C22" i="58" a="1"/>
  <c r="C22" i="58" s="1"/>
  <c r="G22" i="58" s="1"/>
  <c r="C23" i="56" a="1"/>
  <c r="C23" i="56" s="1"/>
  <c r="G23" i="56" s="1"/>
  <c r="C22" i="53" a="1"/>
  <c r="C22" i="53" s="1"/>
  <c r="G22" i="53" s="1"/>
  <c r="C23" i="59" a="1"/>
  <c r="C23" i="59" s="1"/>
  <c r="G23" i="59" s="1"/>
  <c r="C22" i="50" a="1"/>
  <c r="C22" i="50" s="1"/>
  <c r="G22" i="50" s="1"/>
  <c r="C23" i="51" a="1"/>
  <c r="C23" i="51" s="1"/>
  <c r="G23" i="51" s="1"/>
  <c r="C24" i="54" a="1"/>
  <c r="C24" i="54" s="1"/>
  <c r="G24" i="54" s="1"/>
  <c r="L24" i="54" s="1"/>
  <c r="M24" i="54" s="1"/>
  <c r="C24" i="56" a="1"/>
  <c r="C24" i="56" s="1"/>
  <c r="G24" i="56" s="1"/>
  <c r="C23" i="53" a="1"/>
  <c r="C23" i="53" s="1"/>
  <c r="G23" i="53" s="1"/>
  <c r="C24" i="59" a="1"/>
  <c r="C24" i="59" s="1"/>
  <c r="G24" i="59" s="1"/>
  <c r="C24" i="60" a="1"/>
  <c r="C24" i="60" s="1"/>
  <c r="G24" i="60" s="1"/>
  <c r="C23" i="52" a="1"/>
  <c r="C23" i="52" s="1"/>
  <c r="G23" i="52" s="1"/>
  <c r="C24" i="57" a="1"/>
  <c r="C24" i="57" s="1"/>
  <c r="G24" i="57" s="1"/>
  <c r="C23" i="58" a="1"/>
  <c r="C23" i="58" s="1"/>
  <c r="G23" i="58" s="1"/>
  <c r="C24" i="51" a="1"/>
  <c r="C24" i="51" s="1"/>
  <c r="G24" i="51" s="1"/>
  <c r="C23" i="50" a="1"/>
  <c r="C23" i="50" s="1"/>
  <c r="G23" i="50" s="1"/>
  <c r="C25" i="51" a="1"/>
  <c r="C25" i="51" s="1"/>
  <c r="G25" i="51" s="1"/>
  <c r="C24" i="53" a="1"/>
  <c r="C24" i="53" s="1"/>
  <c r="G24" i="53" s="1"/>
  <c r="C25" i="54" a="1"/>
  <c r="C25" i="54" s="1"/>
  <c r="G25" i="54" s="1"/>
  <c r="L25" i="54" s="1"/>
  <c r="M25" i="54" s="1"/>
  <c r="C25" i="56" a="1"/>
  <c r="C25" i="56" s="1"/>
  <c r="G25" i="56" s="1"/>
  <c r="C24" i="50" a="1"/>
  <c r="C24" i="50" s="1"/>
  <c r="G24" i="50" s="1"/>
  <c r="L24" i="50" s="1"/>
  <c r="M24" i="50" s="1"/>
  <c r="C25" i="59" a="1"/>
  <c r="C25" i="59" s="1"/>
  <c r="G25" i="59" s="1"/>
  <c r="C24" i="52" a="1"/>
  <c r="C24" i="52" s="1"/>
  <c r="G24" i="52" s="1"/>
  <c r="C25" i="57" a="1"/>
  <c r="C25" i="57" s="1"/>
  <c r="G25" i="57" s="1"/>
  <c r="C25" i="60" a="1"/>
  <c r="C25" i="60" s="1"/>
  <c r="G25" i="60" s="1"/>
  <c r="C24" i="58" a="1"/>
  <c r="C24" i="58" s="1"/>
  <c r="G24" i="58" s="1"/>
  <c r="C26" i="54" a="1"/>
  <c r="C26" i="54" s="1"/>
  <c r="G26" i="54" s="1"/>
  <c r="C25" i="58" a="1"/>
  <c r="C25" i="58" s="1"/>
  <c r="G25" i="58" s="1"/>
  <c r="C26" i="57" a="1"/>
  <c r="C26" i="57" s="1"/>
  <c r="G26" i="57" s="1"/>
  <c r="C26" i="60" a="1"/>
  <c r="C26" i="60" s="1"/>
  <c r="G26" i="60" s="1"/>
  <c r="C26" i="56" a="1"/>
  <c r="C26" i="56" s="1"/>
  <c r="G26" i="56" s="1"/>
  <c r="C26" i="59" a="1"/>
  <c r="C26" i="59" s="1"/>
  <c r="G26" i="59" s="1"/>
  <c r="C26" i="51" a="1"/>
  <c r="C26" i="51" s="1"/>
  <c r="G26" i="51" s="1"/>
  <c r="C25" i="52" a="1"/>
  <c r="C25" i="52" s="1"/>
  <c r="G25" i="52" s="1"/>
  <c r="C25" i="50" a="1"/>
  <c r="C25" i="50" s="1"/>
  <c r="G25" i="50" s="1"/>
  <c r="L25" i="50" s="1"/>
  <c r="M25" i="50" s="1"/>
  <c r="C25" i="53" a="1"/>
  <c r="C25" i="53" s="1"/>
  <c r="G25" i="53" s="1"/>
  <c r="C27" i="57" a="1"/>
  <c r="C27" i="57" s="1"/>
  <c r="G27" i="57" s="1"/>
  <c r="C27" i="54" a="1"/>
  <c r="C27" i="54" s="1"/>
  <c r="G27" i="54" s="1"/>
  <c r="C27" i="51" a="1"/>
  <c r="C27" i="51" s="1"/>
  <c r="G27" i="51" s="1"/>
  <c r="C26" i="50" a="1"/>
  <c r="C26" i="50" s="1"/>
  <c r="G26" i="50" s="1"/>
  <c r="L26" i="50" s="1"/>
  <c r="M26" i="50" s="1"/>
  <c r="C27" i="59" a="1"/>
  <c r="C27" i="59" s="1"/>
  <c r="G27" i="59" s="1"/>
  <c r="C26" i="52" a="1"/>
  <c r="C26" i="52" s="1"/>
  <c r="G26" i="52" s="1"/>
  <c r="C26" i="53" a="1"/>
  <c r="C26" i="53" s="1"/>
  <c r="G26" i="53" s="1"/>
  <c r="C27" i="60" a="1"/>
  <c r="C27" i="60" s="1"/>
  <c r="G27" i="60" s="1"/>
  <c r="C27" i="56" a="1"/>
  <c r="C27" i="56" s="1"/>
  <c r="G27" i="56" s="1"/>
  <c r="C26" i="58" a="1"/>
  <c r="C26" i="58" s="1"/>
  <c r="G26" i="58" s="1"/>
  <c r="C28" i="59" a="1"/>
  <c r="C28" i="59" s="1"/>
  <c r="G28" i="59" s="1"/>
  <c r="C27" i="53" a="1"/>
  <c r="C27" i="53" s="1"/>
  <c r="G27" i="53" s="1"/>
  <c r="C27" i="52" a="1"/>
  <c r="C27" i="52" s="1"/>
  <c r="G27" i="52" s="1"/>
  <c r="C28" i="60" a="1"/>
  <c r="C28" i="60" s="1"/>
  <c r="G28" i="60" s="1"/>
  <c r="C27" i="58" a="1"/>
  <c r="C27" i="58" s="1"/>
  <c r="G27" i="58" s="1"/>
  <c r="C27" i="50" a="1"/>
  <c r="C27" i="50" s="1"/>
  <c r="G27" i="50" s="1"/>
  <c r="L27" i="50" s="1"/>
  <c r="M27" i="50" s="1"/>
  <c r="C28" i="51" a="1"/>
  <c r="C28" i="51" s="1"/>
  <c r="G28" i="51" s="1"/>
  <c r="C28" i="56" a="1"/>
  <c r="C28" i="56" s="1"/>
  <c r="G28" i="56" s="1"/>
  <c r="C28" i="54" a="1"/>
  <c r="C28" i="54" s="1"/>
  <c r="G28" i="54" s="1"/>
  <c r="L28" i="54" s="1"/>
  <c r="M28" i="54" s="1"/>
  <c r="C28" i="57" a="1"/>
  <c r="C28" i="57" s="1"/>
  <c r="G28" i="57" s="1"/>
  <c r="C29" i="59" a="1"/>
  <c r="C29" i="59" s="1"/>
  <c r="G29" i="59" s="1"/>
  <c r="C29" i="51" a="1"/>
  <c r="C29" i="51" s="1"/>
  <c r="G29" i="51" s="1"/>
  <c r="C29" i="56" a="1"/>
  <c r="C29" i="56" s="1"/>
  <c r="G29" i="56" s="1"/>
  <c r="C28" i="58" a="1"/>
  <c r="C28" i="58" s="1"/>
  <c r="G28" i="58" s="1"/>
  <c r="C28" i="52" a="1"/>
  <c r="C28" i="52" s="1"/>
  <c r="G28" i="52" s="1"/>
  <c r="C28" i="53" a="1"/>
  <c r="C28" i="53" s="1"/>
  <c r="G28" i="53" s="1"/>
  <c r="C29" i="60" a="1"/>
  <c r="C29" i="60" s="1"/>
  <c r="G29" i="60" s="1"/>
  <c r="C29" i="57" a="1"/>
  <c r="C29" i="57" s="1"/>
  <c r="G29" i="57" s="1"/>
  <c r="C29" i="54" a="1"/>
  <c r="C29" i="54" s="1"/>
  <c r="G29" i="54" s="1"/>
  <c r="L29" i="54" s="1"/>
  <c r="M29" i="54" s="1"/>
  <c r="C28" i="50" a="1"/>
  <c r="C28" i="50" s="1"/>
  <c r="G28" i="50" s="1"/>
  <c r="L28" i="50" s="1"/>
  <c r="M28" i="50" s="1"/>
  <c r="C30" i="57" a="1"/>
  <c r="C30" i="57" s="1"/>
  <c r="G30" i="57" s="1"/>
  <c r="C30" i="60" a="1"/>
  <c r="C30" i="60" s="1"/>
  <c r="G30" i="60" s="1"/>
  <c r="C29" i="50" a="1"/>
  <c r="C29" i="50" s="1"/>
  <c r="G29" i="50" s="1"/>
  <c r="C30" i="54" a="1"/>
  <c r="C30" i="54" s="1"/>
  <c r="G30" i="54" s="1"/>
  <c r="L30" i="54" s="1"/>
  <c r="M30" i="54" s="1"/>
  <c r="C29" i="52" a="1"/>
  <c r="C29" i="52" s="1"/>
  <c r="G29" i="52" s="1"/>
  <c r="C30" i="59" a="1"/>
  <c r="C30" i="59" s="1"/>
  <c r="G30" i="59" s="1"/>
  <c r="C30" i="56" a="1"/>
  <c r="C30" i="56" s="1"/>
  <c r="G30" i="56" s="1"/>
  <c r="C30" i="51" a="1"/>
  <c r="C30" i="51" s="1"/>
  <c r="G30" i="51" s="1"/>
  <c r="C29" i="53" a="1"/>
  <c r="C29" i="53" s="1"/>
  <c r="G29" i="53" s="1"/>
  <c r="C29" i="58" a="1"/>
  <c r="C29" i="58" s="1"/>
  <c r="G29" i="58" s="1"/>
  <c r="C31" i="59" a="1"/>
  <c r="C31" i="59" s="1"/>
  <c r="G31" i="59" s="1"/>
  <c r="C30" i="50" a="1"/>
  <c r="C30" i="50" s="1"/>
  <c r="G30" i="50" s="1"/>
  <c r="C31" i="54" a="1"/>
  <c r="C31" i="54" s="1"/>
  <c r="G31" i="54" s="1"/>
  <c r="L31" i="54" s="1"/>
  <c r="M31" i="54" s="1"/>
  <c r="C30" i="58" a="1"/>
  <c r="C30" i="58" s="1"/>
  <c r="G30" i="58" s="1"/>
  <c r="C30" i="52" a="1"/>
  <c r="C30" i="52" s="1"/>
  <c r="G30" i="52" s="1"/>
  <c r="C31" i="56" a="1"/>
  <c r="C31" i="56" s="1"/>
  <c r="G31" i="56" s="1"/>
  <c r="C31" i="60" a="1"/>
  <c r="C31" i="60" s="1"/>
  <c r="G31" i="60" s="1"/>
  <c r="C31" i="57" a="1"/>
  <c r="C31" i="57" s="1"/>
  <c r="G31" i="57" s="1"/>
  <c r="C31" i="51" a="1"/>
  <c r="C31" i="51" s="1"/>
  <c r="G31" i="51" s="1"/>
  <c r="C30" i="53" a="1"/>
  <c r="C30" i="53" s="1"/>
  <c r="G30" i="53" s="1"/>
  <c r="C32" i="57" a="1"/>
  <c r="C32" i="57" s="1"/>
  <c r="G32" i="57" s="1"/>
  <c r="C31" i="52" a="1"/>
  <c r="C31" i="52" s="1"/>
  <c r="G31" i="52" s="1"/>
  <c r="C32" i="54" a="1"/>
  <c r="C32" i="54" s="1"/>
  <c r="G32" i="54" s="1"/>
  <c r="L32" i="54" s="1"/>
  <c r="M32" i="54" s="1"/>
  <c r="C31" i="58" a="1"/>
  <c r="C31" i="58" s="1"/>
  <c r="G31" i="58" s="1"/>
  <c r="C32" i="51" a="1"/>
  <c r="C32" i="51" s="1"/>
  <c r="G32" i="51" s="1"/>
  <c r="C32" i="60" a="1"/>
  <c r="C32" i="60" s="1"/>
  <c r="G32" i="60" s="1"/>
  <c r="C31" i="50" a="1"/>
  <c r="C31" i="50" s="1"/>
  <c r="G31" i="50" s="1"/>
  <c r="L31" i="50" s="1"/>
  <c r="M31" i="50" s="1"/>
  <c r="C32" i="59" a="1"/>
  <c r="C32" i="59" s="1"/>
  <c r="G32" i="59" s="1"/>
  <c r="C32" i="56" a="1"/>
  <c r="C32" i="56" s="1"/>
  <c r="G32" i="56" s="1"/>
  <c r="C31" i="53" a="1"/>
  <c r="C31" i="53" s="1"/>
  <c r="G31" i="53" s="1"/>
  <c r="C32" i="53" a="1"/>
  <c r="C32" i="53" s="1"/>
  <c r="G32" i="53" s="1"/>
  <c r="C33" i="56" a="1"/>
  <c r="C33" i="56" s="1"/>
  <c r="G33" i="56" s="1"/>
  <c r="C32" i="52" a="1"/>
  <c r="C32" i="52" s="1"/>
  <c r="G32" i="52" s="1"/>
  <c r="C33" i="60" a="1"/>
  <c r="C33" i="60" s="1"/>
  <c r="G33" i="60" s="1"/>
  <c r="C33" i="57" a="1"/>
  <c r="C33" i="57" s="1"/>
  <c r="G33" i="57" s="1"/>
  <c r="C32" i="58" a="1"/>
  <c r="C32" i="58" s="1"/>
  <c r="G32" i="58" s="1"/>
  <c r="C32" i="50" a="1"/>
  <c r="C32" i="50" s="1"/>
  <c r="G32" i="50" s="1"/>
  <c r="L32" i="50" s="1"/>
  <c r="M32" i="50" s="1"/>
  <c r="C33" i="54" a="1"/>
  <c r="C33" i="54" s="1"/>
  <c r="G33" i="54" s="1"/>
  <c r="C33" i="51" a="1"/>
  <c r="C33" i="51" s="1"/>
  <c r="G33" i="51" s="1"/>
  <c r="C33" i="59" a="1"/>
  <c r="C33" i="59" s="1"/>
  <c r="G33" i="59" s="1"/>
  <c r="C33" i="53" a="1"/>
  <c r="C33" i="53" s="1"/>
  <c r="G33" i="53" s="1"/>
  <c r="C34" i="54" a="1"/>
  <c r="C34" i="54" s="1"/>
  <c r="G34" i="54" s="1"/>
  <c r="C34" i="57" a="1"/>
  <c r="C34" i="57" s="1"/>
  <c r="G34" i="57" s="1"/>
  <c r="C34" i="59" a="1"/>
  <c r="C34" i="59" s="1"/>
  <c r="G34" i="59" s="1"/>
  <c r="C33" i="52" a="1"/>
  <c r="C33" i="52" s="1"/>
  <c r="G33" i="52" s="1"/>
  <c r="C34" i="51" a="1"/>
  <c r="C34" i="51" s="1"/>
  <c r="G34" i="51" s="1"/>
  <c r="C34" i="56" a="1"/>
  <c r="C34" i="56" s="1"/>
  <c r="G34" i="56" s="1"/>
  <c r="C33" i="50" a="1"/>
  <c r="C33" i="50" s="1"/>
  <c r="G33" i="50" s="1"/>
  <c r="L33" i="50" s="1"/>
  <c r="M33" i="50" s="1"/>
  <c r="C34" i="60" a="1"/>
  <c r="C34" i="60" s="1"/>
  <c r="G34" i="60" s="1"/>
  <c r="C33" i="58" a="1"/>
  <c r="C33" i="58" s="1"/>
  <c r="G33" i="58" s="1"/>
  <c r="C35" i="56" a="1"/>
  <c r="C35" i="56" s="1"/>
  <c r="G35" i="56" s="1"/>
  <c r="C35" i="60" a="1"/>
  <c r="C35" i="60" s="1"/>
  <c r="G35" i="60" s="1"/>
  <c r="C35" i="54" a="1"/>
  <c r="C35" i="54" s="1"/>
  <c r="G35" i="54" s="1"/>
  <c r="L35" i="54" s="1"/>
  <c r="M35" i="54" s="1"/>
  <c r="C35" i="57" a="1"/>
  <c r="C35" i="57" s="1"/>
  <c r="G35" i="57" s="1"/>
  <c r="C35" i="51" a="1"/>
  <c r="C35" i="51" s="1"/>
  <c r="G35" i="51" s="1"/>
  <c r="C35" i="59" a="1"/>
  <c r="C35" i="59" s="1"/>
  <c r="G35" i="59" s="1"/>
  <c r="C34" i="53" a="1"/>
  <c r="C34" i="53" s="1"/>
  <c r="G34" i="53" s="1"/>
  <c r="C34" i="50" a="1"/>
  <c r="C34" i="50" s="1"/>
  <c r="G34" i="50" s="1"/>
  <c r="L34" i="50" s="1"/>
  <c r="M34" i="50" s="1"/>
  <c r="C34" i="58" a="1"/>
  <c r="C34" i="58" s="1"/>
  <c r="G34" i="58" s="1"/>
  <c r="C34" i="52" a="1"/>
  <c r="C34" i="52" s="1"/>
  <c r="G34" i="52" s="1"/>
  <c r="C36" i="51" a="1"/>
  <c r="C36" i="51" s="1"/>
  <c r="G36" i="51" s="1"/>
  <c r="C35" i="53" a="1"/>
  <c r="C35" i="53" s="1"/>
  <c r="G35" i="53" s="1"/>
  <c r="C36" i="57" a="1"/>
  <c r="C36" i="57" s="1"/>
  <c r="G36" i="57" s="1"/>
  <c r="C35" i="52" a="1"/>
  <c r="C35" i="52" s="1"/>
  <c r="G35" i="52" s="1"/>
  <c r="C36" i="60" a="1"/>
  <c r="C36" i="60" s="1"/>
  <c r="G36" i="60" s="1"/>
  <c r="C36" i="56" a="1"/>
  <c r="C36" i="56" s="1"/>
  <c r="G36" i="56" s="1"/>
  <c r="C35" i="50" a="1"/>
  <c r="C35" i="50" s="1"/>
  <c r="G35" i="50" s="1"/>
  <c r="L35" i="50" s="1"/>
  <c r="M35" i="50" s="1"/>
  <c r="C36" i="59" a="1"/>
  <c r="C36" i="59" s="1"/>
  <c r="G36" i="59" s="1"/>
  <c r="C35" i="58" a="1"/>
  <c r="C35" i="58" s="1"/>
  <c r="G35" i="58" s="1"/>
  <c r="C36" i="54" a="1"/>
  <c r="C36" i="54" s="1"/>
  <c r="G36" i="54" s="1"/>
  <c r="L36" i="54" s="1"/>
  <c r="M36" i="54" s="1"/>
  <c r="C36" i="58" a="1"/>
  <c r="C36" i="58" s="1"/>
  <c r="G36" i="58" s="1"/>
  <c r="C37" i="57" a="1"/>
  <c r="C37" i="57" s="1"/>
  <c r="G37" i="57" s="1"/>
  <c r="C37" i="56" a="1"/>
  <c r="C37" i="56" s="1"/>
  <c r="G37" i="56" s="1"/>
  <c r="C37" i="59" a="1"/>
  <c r="C37" i="59" s="1"/>
  <c r="G37" i="59" s="1"/>
  <c r="C37" i="54" a="1"/>
  <c r="C37" i="54" s="1"/>
  <c r="G37" i="54" s="1"/>
  <c r="L37" i="54" s="1"/>
  <c r="M37" i="54" s="1"/>
  <c r="C36" i="53" a="1"/>
  <c r="C36" i="53" s="1"/>
  <c r="G36" i="53" s="1"/>
  <c r="C36" i="50" a="1"/>
  <c r="C36" i="50" s="1"/>
  <c r="G36" i="50" s="1"/>
  <c r="C36" i="52" a="1"/>
  <c r="C36" i="52" s="1"/>
  <c r="G36" i="52" s="1"/>
  <c r="C37" i="60" a="1"/>
  <c r="C37" i="60" s="1"/>
  <c r="G37" i="60" s="1"/>
  <c r="C37" i="51" a="1"/>
  <c r="C37" i="51" s="1"/>
  <c r="G37" i="51" s="1"/>
  <c r="C38" i="60" a="1"/>
  <c r="C38" i="60" s="1"/>
  <c r="G38" i="60" s="1"/>
  <c r="C37" i="50" a="1"/>
  <c r="C37" i="50" s="1"/>
  <c r="G37" i="50" s="1"/>
  <c r="C37" i="58" a="1"/>
  <c r="C37" i="58" s="1"/>
  <c r="G37" i="58" s="1"/>
  <c r="C38" i="54" a="1"/>
  <c r="C38" i="54" s="1"/>
  <c r="G38" i="54" s="1"/>
  <c r="L38" i="54" s="1"/>
  <c r="M38" i="54" s="1"/>
  <c r="C37" i="53" a="1"/>
  <c r="C37" i="53" s="1"/>
  <c r="G37" i="53" s="1"/>
  <c r="C38" i="56" a="1"/>
  <c r="C38" i="56" s="1"/>
  <c r="G38" i="56" s="1"/>
  <c r="C37" i="52" a="1"/>
  <c r="C37" i="52" s="1"/>
  <c r="G37" i="52" s="1"/>
  <c r="C38" i="50" a="1"/>
  <c r="C38" i="50" s="1"/>
  <c r="G38" i="50" s="1"/>
  <c r="L38" i="50" s="1"/>
  <c r="M38" i="50" s="1"/>
  <c r="C38" i="52" a="1"/>
  <c r="C38" i="52" s="1"/>
  <c r="G38" i="52" s="1"/>
  <c r="C38" i="58" a="1"/>
  <c r="C38" i="58" s="1"/>
  <c r="G38" i="58" s="1"/>
  <c r="AL8" i="1"/>
  <c r="AM8" i="1" s="1"/>
  <c r="D8" i="39"/>
  <c r="W17" i="39"/>
  <c r="N21" i="39"/>
  <c r="O21" i="39"/>
  <c r="P21" i="39" s="1"/>
  <c r="O12" i="39"/>
  <c r="P12" i="39" s="1"/>
  <c r="Q12" i="39" s="1"/>
  <c r="O29" i="39"/>
  <c r="P29" i="39" s="1"/>
  <c r="Q29" i="39" s="1"/>
  <c r="O27" i="39"/>
  <c r="P27" i="39" s="1"/>
  <c r="N27" i="39"/>
  <c r="N34" i="39"/>
  <c r="O34" i="39"/>
  <c r="P34" i="39" s="1"/>
  <c r="O35" i="39"/>
  <c r="P35" i="39" s="1"/>
  <c r="N35" i="39"/>
  <c r="O24" i="39"/>
  <c r="P24" i="39" s="1"/>
  <c r="N24" i="39"/>
  <c r="M17" i="39"/>
  <c r="O17" i="39" s="1"/>
  <c r="P17" i="39" s="1"/>
  <c r="N18" i="39"/>
  <c r="O18" i="39"/>
  <c r="P18" i="39" s="1"/>
  <c r="O32" i="39"/>
  <c r="P32" i="39" s="1"/>
  <c r="N32" i="39"/>
  <c r="O9" i="39"/>
  <c r="P9" i="39" s="1"/>
  <c r="N9" i="39"/>
  <c r="N26" i="39"/>
  <c r="O26" i="39"/>
  <c r="P26" i="39" s="1"/>
  <c r="N33" i="39"/>
  <c r="O33" i="39"/>
  <c r="P33" i="39" s="1"/>
  <c r="N11" i="39"/>
  <c r="Q11" i="39" s="1"/>
  <c r="O14" i="39"/>
  <c r="P14" i="39" s="1"/>
  <c r="Q14" i="39" s="1"/>
  <c r="N20" i="39"/>
  <c r="O23" i="39"/>
  <c r="P23" i="39" s="1"/>
  <c r="Q23" i="39" s="1"/>
  <c r="N28" i="39"/>
  <c r="O31" i="39"/>
  <c r="P31" i="39" s="1"/>
  <c r="Q31" i="39" s="1"/>
  <c r="O20" i="39"/>
  <c r="P20" i="39" s="1"/>
  <c r="O28" i="39"/>
  <c r="P28" i="39" s="1"/>
  <c r="E8" i="39"/>
  <c r="N10" i="39"/>
  <c r="N13" i="39"/>
  <c r="N16" i="39"/>
  <c r="N22" i="39"/>
  <c r="N30" i="39"/>
  <c r="O10" i="39"/>
  <c r="P10" i="39" s="1"/>
  <c r="O13" i="39"/>
  <c r="P13" i="39" s="1"/>
  <c r="O16" i="39"/>
  <c r="P16" i="39" s="1"/>
  <c r="O22" i="39"/>
  <c r="P22" i="39" s="1"/>
  <c r="O30" i="39"/>
  <c r="P30" i="39" s="1"/>
  <c r="B9" i="39"/>
  <c r="M9" i="22"/>
  <c r="N9" i="22" s="1"/>
  <c r="M11" i="22"/>
  <c r="N11" i="22" s="1"/>
  <c r="M13" i="22"/>
  <c r="N13" i="22" s="1"/>
  <c r="M14" i="22"/>
  <c r="N14" i="22" s="1"/>
  <c r="M16" i="22"/>
  <c r="N16" i="22" s="1"/>
  <c r="M18" i="22"/>
  <c r="N18" i="22" s="1"/>
  <c r="M19" i="22"/>
  <c r="N19" i="22" s="1"/>
  <c r="M20" i="22"/>
  <c r="N20" i="22" s="1"/>
  <c r="M21" i="22"/>
  <c r="N21" i="22" s="1"/>
  <c r="M27" i="22"/>
  <c r="N27" i="22" s="1"/>
  <c r="M28" i="22"/>
  <c r="N28" i="22" s="1"/>
  <c r="M29" i="22"/>
  <c r="N29" i="22" s="1"/>
  <c r="M30" i="22"/>
  <c r="N30" i="22" s="1"/>
  <c r="M31" i="22"/>
  <c r="N31" i="22" s="1"/>
  <c r="M32" i="22"/>
  <c r="N32" i="22" s="1"/>
  <c r="M33" i="22"/>
  <c r="N33" i="22" s="1"/>
  <c r="M34" i="22"/>
  <c r="N34" i="22" s="1"/>
  <c r="M35" i="22"/>
  <c r="N35" i="22" s="1"/>
  <c r="M36" i="22"/>
  <c r="N36" i="22" s="1"/>
  <c r="M37" i="22"/>
  <c r="N37" i="22" s="1"/>
  <c r="M38" i="22"/>
  <c r="N38" i="22" s="1"/>
  <c r="N24" i="54" l="1"/>
  <c r="O24" i="54"/>
  <c r="P24" i="54" s="1"/>
  <c r="O21" i="54"/>
  <c r="P21" i="54" s="1"/>
  <c r="N21" i="54"/>
  <c r="O29" i="54"/>
  <c r="P29" i="54" s="1"/>
  <c r="N29" i="54"/>
  <c r="N18" i="54"/>
  <c r="Q18" i="54" s="1"/>
  <c r="O18" i="54"/>
  <c r="P18" i="54" s="1"/>
  <c r="O17" i="54"/>
  <c r="P17" i="54" s="1"/>
  <c r="N17" i="54"/>
  <c r="Q17" i="54" s="1"/>
  <c r="N32" i="54"/>
  <c r="O32" i="54"/>
  <c r="P32" i="54" s="1"/>
  <c r="O16" i="54"/>
  <c r="P16" i="54" s="1"/>
  <c r="N16" i="54"/>
  <c r="Q16" i="54" s="1"/>
  <c r="O11" i="54"/>
  <c r="P11" i="54" s="1"/>
  <c r="N11" i="54"/>
  <c r="N28" i="54"/>
  <c r="O28" i="54"/>
  <c r="P28" i="54" s="1"/>
  <c r="Q28" i="54" s="1"/>
  <c r="O14" i="54"/>
  <c r="P14" i="54" s="1"/>
  <c r="N14" i="54"/>
  <c r="Q14" i="54" s="1"/>
  <c r="N10" i="54"/>
  <c r="O10" i="54"/>
  <c r="P10" i="54" s="1"/>
  <c r="Q10" i="54" s="1"/>
  <c r="O35" i="54"/>
  <c r="P35" i="54" s="1"/>
  <c r="N35" i="54"/>
  <c r="O38" i="54"/>
  <c r="P38" i="54" s="1"/>
  <c r="Q38" i="54" s="1"/>
  <c r="N38" i="54"/>
  <c r="O30" i="54"/>
  <c r="P30" i="54" s="1"/>
  <c r="N30" i="54"/>
  <c r="O36" i="54"/>
  <c r="P36" i="54" s="1"/>
  <c r="N36" i="54"/>
  <c r="Q36" i="54" s="1"/>
  <c r="O37" i="54"/>
  <c r="P37" i="54" s="1"/>
  <c r="N37" i="54"/>
  <c r="O9" i="54"/>
  <c r="P9" i="54" s="1"/>
  <c r="N9" i="54"/>
  <c r="Q9" i="54"/>
  <c r="N31" i="54"/>
  <c r="O31" i="54"/>
  <c r="P31" i="54" s="1"/>
  <c r="Q31" i="54" s="1"/>
  <c r="O22" i="54"/>
  <c r="P22" i="54" s="1"/>
  <c r="N22" i="54"/>
  <c r="O15" i="54"/>
  <c r="P15" i="54" s="1"/>
  <c r="N15" i="54"/>
  <c r="N23" i="54"/>
  <c r="O23" i="54"/>
  <c r="P23" i="54" s="1"/>
  <c r="Q23" i="54" s="1"/>
  <c r="O25" i="54"/>
  <c r="P25" i="54" s="1"/>
  <c r="N25" i="54"/>
  <c r="Q25" i="54" s="1"/>
  <c r="N8" i="54"/>
  <c r="O8" i="54"/>
  <c r="P8" i="54" s="1"/>
  <c r="C8" i="39" a="1"/>
  <c r="C8" i="39" s="1"/>
  <c r="G8" i="39" s="1"/>
  <c r="O33" i="50"/>
  <c r="P33" i="50" s="1"/>
  <c r="N33" i="50"/>
  <c r="O28" i="50"/>
  <c r="P28" i="50" s="1"/>
  <c r="N28" i="50"/>
  <c r="O20" i="50"/>
  <c r="P20" i="50" s="1"/>
  <c r="N20" i="50"/>
  <c r="Q20" i="50" s="1"/>
  <c r="N13" i="50"/>
  <c r="O13" i="50"/>
  <c r="P13" i="50" s="1"/>
  <c r="O12" i="50"/>
  <c r="P12" i="50" s="1"/>
  <c r="N12" i="50"/>
  <c r="O26" i="50"/>
  <c r="P26" i="50" s="1"/>
  <c r="N26" i="50"/>
  <c r="O19" i="50"/>
  <c r="P19" i="50" s="1"/>
  <c r="N19" i="50"/>
  <c r="N17" i="50"/>
  <c r="O17" i="50"/>
  <c r="P17" i="50" s="1"/>
  <c r="N32" i="50"/>
  <c r="O32" i="50"/>
  <c r="P32" i="50" s="1"/>
  <c r="N11" i="50"/>
  <c r="O11" i="50"/>
  <c r="P11" i="50" s="1"/>
  <c r="N38" i="50"/>
  <c r="O38" i="50"/>
  <c r="P38" i="50" s="1"/>
  <c r="N35" i="50"/>
  <c r="O35" i="50"/>
  <c r="P35" i="50" s="1"/>
  <c r="N31" i="50"/>
  <c r="O31" i="50"/>
  <c r="P31" i="50" s="1"/>
  <c r="N24" i="50"/>
  <c r="O24" i="50"/>
  <c r="P24" i="50" s="1"/>
  <c r="Q24" i="50"/>
  <c r="N14" i="50"/>
  <c r="Q14" i="50" s="1"/>
  <c r="O14" i="50"/>
  <c r="P14" i="50" s="1"/>
  <c r="N10" i="50"/>
  <c r="O10" i="50"/>
  <c r="P10" i="50" s="1"/>
  <c r="N34" i="50"/>
  <c r="O34" i="50"/>
  <c r="P34" i="50" s="1"/>
  <c r="N27" i="50"/>
  <c r="O27" i="50"/>
  <c r="P27" i="50" s="1"/>
  <c r="Q27" i="50" s="1"/>
  <c r="N25" i="50"/>
  <c r="Q25" i="50" s="1"/>
  <c r="O25" i="50"/>
  <c r="P25" i="50" s="1"/>
  <c r="O21" i="50"/>
  <c r="P21" i="50" s="1"/>
  <c r="N21" i="50"/>
  <c r="O18" i="50"/>
  <c r="P18" i="50" s="1"/>
  <c r="N18" i="50"/>
  <c r="Q18" i="50" s="1"/>
  <c r="M8" i="39"/>
  <c r="N17" i="39"/>
  <c r="Q17" i="39" s="1"/>
  <c r="Q18" i="39"/>
  <c r="Q33" i="39"/>
  <c r="Q32" i="39"/>
  <c r="Q16" i="39"/>
  <c r="Q26" i="39"/>
  <c r="Q27" i="39"/>
  <c r="Q20" i="39"/>
  <c r="Q9" i="39"/>
  <c r="Q28" i="39"/>
  <c r="Q10" i="39"/>
  <c r="Q34" i="39"/>
  <c r="Q24" i="39"/>
  <c r="Q13" i="39"/>
  <c r="Q30" i="39"/>
  <c r="Q35" i="39"/>
  <c r="Q21" i="39"/>
  <c r="Q22" i="39"/>
  <c r="A9" i="39"/>
  <c r="B10" i="39"/>
  <c r="D9" i="39"/>
  <c r="E9" i="39"/>
  <c r="O14" i="22"/>
  <c r="O20" i="22"/>
  <c r="B15" i="1"/>
  <c r="W16" i="22"/>
  <c r="W10" i="22"/>
  <c r="W15" i="22" s="1"/>
  <c r="W8" i="22"/>
  <c r="W9" i="22" s="1"/>
  <c r="M10" i="1"/>
  <c r="Q11" i="50" l="1"/>
  <c r="Q28" i="50"/>
  <c r="Q30" i="54"/>
  <c r="Q31" i="50"/>
  <c r="Q12" i="50"/>
  <c r="Q33" i="50"/>
  <c r="Q15" i="54"/>
  <c r="Q37" i="54"/>
  <c r="Q13" i="50"/>
  <c r="Q8" i="54"/>
  <c r="Q11" i="54"/>
  <c r="Q22" i="54"/>
  <c r="Q35" i="54"/>
  <c r="Q32" i="54"/>
  <c r="Q29" i="54"/>
  <c r="Q21" i="54"/>
  <c r="Q24" i="54"/>
  <c r="Q19" i="50"/>
  <c r="Q34" i="50"/>
  <c r="Q26" i="50"/>
  <c r="Q21" i="50"/>
  <c r="Q32" i="50"/>
  <c r="Q35" i="50"/>
  <c r="Q17" i="50"/>
  <c r="C9" i="39" a="1"/>
  <c r="C9" i="39" s="1"/>
  <c r="G9" i="39" s="1"/>
  <c r="Q38" i="50"/>
  <c r="Q10" i="50"/>
  <c r="N8" i="39"/>
  <c r="O8" i="39"/>
  <c r="P8" i="39" s="1"/>
  <c r="C14" i="1"/>
  <c r="D14" i="1" s="1"/>
  <c r="D19" i="1"/>
  <c r="E10" i="39"/>
  <c r="D10" i="39"/>
  <c r="A10" i="39"/>
  <c r="B11" i="39"/>
  <c r="W17" i="22"/>
  <c r="M17" i="22"/>
  <c r="N17" i="22" s="1"/>
  <c r="M10" i="22"/>
  <c r="N10" i="22" s="1"/>
  <c r="M22" i="22"/>
  <c r="N22" i="22" s="1"/>
  <c r="M23" i="22"/>
  <c r="N23" i="22" s="1"/>
  <c r="M24" i="22"/>
  <c r="N24" i="22" s="1"/>
  <c r="M26" i="22"/>
  <c r="N26" i="22" s="1"/>
  <c r="M12" i="22"/>
  <c r="N12" i="22" s="1"/>
  <c r="M25" i="22"/>
  <c r="N25" i="22" s="1"/>
  <c r="B9" i="22"/>
  <c r="E9" i="22" s="1"/>
  <c r="A8" i="22"/>
  <c r="E8" i="22"/>
  <c r="C8" i="22" s="1" a="1"/>
  <c r="C8" i="22" s="1"/>
  <c r="Q39" i="54" l="1"/>
  <c r="B3" i="54"/>
  <c r="C21" i="1"/>
  <c r="D21" i="1" s="1"/>
  <c r="Q39" i="50"/>
  <c r="C10" i="39" a="1"/>
  <c r="C10" i="39" s="1"/>
  <c r="G10" i="39" s="1"/>
  <c r="Q8" i="39"/>
  <c r="G8" i="22"/>
  <c r="D18" i="1"/>
  <c r="D24" i="1"/>
  <c r="D25" i="1"/>
  <c r="D22" i="1"/>
  <c r="D23" i="1"/>
  <c r="B12" i="39"/>
  <c r="E11" i="39"/>
  <c r="A11" i="39"/>
  <c r="D11" i="39"/>
  <c r="A9" i="22"/>
  <c r="B10" i="22"/>
  <c r="D9" i="22"/>
  <c r="L10" i="1"/>
  <c r="J10" i="1"/>
  <c r="K10" i="1"/>
  <c r="C11" i="39" l="1" a="1"/>
  <c r="C11" i="39" s="1"/>
  <c r="G11" i="39" s="1"/>
  <c r="C9" i="22" a="1"/>
  <c r="C9" i="22" s="1"/>
  <c r="G9" i="22" s="1"/>
  <c r="C17" i="1"/>
  <c r="B3" i="50"/>
  <c r="D17" i="1"/>
  <c r="D20" i="1"/>
  <c r="M8" i="22"/>
  <c r="O8" i="22" s="1"/>
  <c r="A12" i="39"/>
  <c r="E12" i="39"/>
  <c r="B13" i="39"/>
  <c r="D12" i="39"/>
  <c r="O9" i="22"/>
  <c r="A10" i="22"/>
  <c r="D10" i="22"/>
  <c r="E10" i="22"/>
  <c r="B11" i="22"/>
  <c r="C10" i="22" l="1" a="1"/>
  <c r="C10" i="22" s="1"/>
  <c r="G10" i="22" s="1"/>
  <c r="C12" i="39" a="1"/>
  <c r="C12" i="39" s="1"/>
  <c r="G12" i="39" s="1"/>
  <c r="P8" i="22"/>
  <c r="N8" i="22"/>
  <c r="E13" i="39"/>
  <c r="A13" i="39"/>
  <c r="D13" i="39"/>
  <c r="B14" i="39"/>
  <c r="P9" i="22"/>
  <c r="O10" i="22"/>
  <c r="B12" i="22"/>
  <c r="A11" i="22"/>
  <c r="D11" i="22"/>
  <c r="E11" i="22"/>
  <c r="C13" i="39" l="1" a="1"/>
  <c r="C13" i="39" s="1"/>
  <c r="G13" i="39" s="1"/>
  <c r="C11" i="22" a="1"/>
  <c r="C11" i="22" s="1"/>
  <c r="G11" i="22" s="1"/>
  <c r="Q8" i="22"/>
  <c r="A14" i="39"/>
  <c r="B15" i="39"/>
  <c r="E14" i="39"/>
  <c r="D14" i="39"/>
  <c r="Q9" i="22"/>
  <c r="P10" i="22"/>
  <c r="O11" i="22"/>
  <c r="B13" i="22"/>
  <c r="A12" i="22"/>
  <c r="D12" i="22"/>
  <c r="E12" i="22"/>
  <c r="C12" i="22" s="1" a="1"/>
  <c r="C12" i="22" s="1"/>
  <c r="C14" i="39" l="1" a="1"/>
  <c r="C14" i="39" s="1"/>
  <c r="G14" i="39" s="1"/>
  <c r="G12" i="22"/>
  <c r="D15" i="39"/>
  <c r="A15" i="39"/>
  <c r="B16" i="39"/>
  <c r="E15" i="39"/>
  <c r="Q10" i="22"/>
  <c r="B14" i="22"/>
  <c r="E13" i="22"/>
  <c r="A13" i="22"/>
  <c r="D13" i="22"/>
  <c r="P11" i="22"/>
  <c r="O12" i="22"/>
  <c r="C15" i="39" l="1" a="1"/>
  <c r="C15" i="39" s="1"/>
  <c r="G15" i="39" s="1"/>
  <c r="C13" i="22" a="1"/>
  <c r="C13" i="22" s="1"/>
  <c r="G13" i="22" s="1"/>
  <c r="M15" i="39"/>
  <c r="E16" i="39"/>
  <c r="A16" i="39"/>
  <c r="D16" i="39"/>
  <c r="B17" i="39"/>
  <c r="Q11" i="22"/>
  <c r="P12" i="22"/>
  <c r="O13" i="22"/>
  <c r="D14" i="22"/>
  <c r="B15" i="22"/>
  <c r="E14" i="22"/>
  <c r="A14" i="22"/>
  <c r="C14" i="22" l="1" a="1"/>
  <c r="C14" i="22" s="1"/>
  <c r="G14" i="22" s="1"/>
  <c r="C16" i="39" a="1"/>
  <c r="C16" i="39" s="1"/>
  <c r="G16" i="39" s="1"/>
  <c r="O15" i="39"/>
  <c r="P15" i="39" s="1"/>
  <c r="N15" i="39"/>
  <c r="B18" i="39"/>
  <c r="E17" i="39"/>
  <c r="C17" i="39" s="1" a="1"/>
  <c r="C17" i="39" s="1"/>
  <c r="D17" i="39"/>
  <c r="A17" i="39"/>
  <c r="P13" i="22"/>
  <c r="A15" i="22"/>
  <c r="B16" i="22"/>
  <c r="D15" i="22"/>
  <c r="E15" i="22"/>
  <c r="C15" i="22" s="1" a="1"/>
  <c r="C15" i="22" s="1"/>
  <c r="Q12" i="22"/>
  <c r="G17" i="39" l="1"/>
  <c r="Q15" i="39"/>
  <c r="G15" i="22"/>
  <c r="M15" i="22"/>
  <c r="N15" i="22" s="1"/>
  <c r="A18" i="39"/>
  <c r="B19" i="39"/>
  <c r="D18" i="39"/>
  <c r="E18" i="39"/>
  <c r="Q13" i="22"/>
  <c r="P14" i="22"/>
  <c r="E16" i="22"/>
  <c r="D16" i="22"/>
  <c r="A16" i="22"/>
  <c r="B17" i="22"/>
  <c r="C18" i="39" l="1" a="1"/>
  <c r="C18" i="39" s="1"/>
  <c r="G18" i="39" s="1"/>
  <c r="C16" i="22" a="1"/>
  <c r="C16" i="22" s="1"/>
  <c r="G16" i="22" s="1"/>
  <c r="O15" i="22"/>
  <c r="P15" i="22" s="1"/>
  <c r="D19" i="39"/>
  <c r="E19" i="39"/>
  <c r="A19" i="39"/>
  <c r="B20" i="39"/>
  <c r="Q14" i="22"/>
  <c r="O16" i="22"/>
  <c r="A17" i="22"/>
  <c r="D17" i="22"/>
  <c r="B18" i="22"/>
  <c r="E17" i="22"/>
  <c r="C17" i="22" l="1" a="1"/>
  <c r="C17" i="22" s="1"/>
  <c r="G17" i="22" s="1"/>
  <c r="C19" i="39" a="1"/>
  <c r="C19" i="39" s="1"/>
  <c r="G19" i="39" s="1"/>
  <c r="M19" i="39"/>
  <c r="B21" i="39"/>
  <c r="E20" i="39"/>
  <c r="D20" i="39"/>
  <c r="A20" i="39"/>
  <c r="P16" i="22"/>
  <c r="O17" i="22"/>
  <c r="E18" i="22"/>
  <c r="B19" i="22"/>
  <c r="D18" i="22"/>
  <c r="A18" i="22"/>
  <c r="Q15" i="22"/>
  <c r="C20" i="39" l="1" a="1"/>
  <c r="C20" i="39" s="1"/>
  <c r="G20" i="39" s="1"/>
  <c r="C18" i="22" a="1"/>
  <c r="C18" i="22" s="1"/>
  <c r="G18" i="22" s="1"/>
  <c r="N19" i="39"/>
  <c r="O19" i="39"/>
  <c r="P19" i="39" s="1"/>
  <c r="Q19" i="39" s="1"/>
  <c r="A21" i="39"/>
  <c r="B22" i="39"/>
  <c r="E21" i="39"/>
  <c r="D21" i="39"/>
  <c r="P17" i="22"/>
  <c r="B20" i="22"/>
  <c r="E19" i="22"/>
  <c r="D19" i="22"/>
  <c r="A19" i="22"/>
  <c r="O18" i="22"/>
  <c r="Q16" i="22"/>
  <c r="C19" i="22" l="1" a="1"/>
  <c r="C19" i="22" s="1"/>
  <c r="G19" i="22" s="1"/>
  <c r="C21" i="39" a="1"/>
  <c r="C21" i="39" s="1"/>
  <c r="G21" i="39" s="1"/>
  <c r="D26" i="1"/>
  <c r="E22" i="39"/>
  <c r="B23" i="39"/>
  <c r="D22" i="39"/>
  <c r="A22" i="39"/>
  <c r="P18" i="22"/>
  <c r="O19" i="22"/>
  <c r="D20" i="22"/>
  <c r="A20" i="22"/>
  <c r="E20" i="22"/>
  <c r="B21" i="22"/>
  <c r="Q17" i="22"/>
  <c r="C20" i="22" l="1" a="1"/>
  <c r="C20" i="22" s="1"/>
  <c r="G20" i="22" s="1"/>
  <c r="C22" i="39" a="1"/>
  <c r="C22" i="39" s="1"/>
  <c r="G22" i="39" s="1"/>
  <c r="A23" i="39"/>
  <c r="B24" i="39"/>
  <c r="E23" i="39"/>
  <c r="C23" i="39" s="1" a="1"/>
  <c r="C23" i="39" s="1"/>
  <c r="D23" i="39"/>
  <c r="P19" i="22"/>
  <c r="E21" i="22"/>
  <c r="D21" i="22"/>
  <c r="B22" i="22"/>
  <c r="A21" i="22"/>
  <c r="Q18" i="22"/>
  <c r="C21" i="22" l="1" a="1"/>
  <c r="C21" i="22" s="1"/>
  <c r="G21" i="22" s="1"/>
  <c r="G23" i="39"/>
  <c r="D24" i="39"/>
  <c r="B25" i="39"/>
  <c r="A24" i="39"/>
  <c r="E24" i="39"/>
  <c r="O21" i="22"/>
  <c r="Q19" i="22"/>
  <c r="P20" i="22"/>
  <c r="D22" i="22"/>
  <c r="A22" i="22"/>
  <c r="B23" i="22"/>
  <c r="E22" i="22"/>
  <c r="C22" i="22" s="1" a="1"/>
  <c r="C22" i="22" s="1"/>
  <c r="C24" i="39" l="1" a="1"/>
  <c r="C24" i="39" s="1"/>
  <c r="G24" i="39" s="1"/>
  <c r="G22" i="22"/>
  <c r="B26" i="39"/>
  <c r="E25" i="39"/>
  <c r="D25" i="39"/>
  <c r="A25" i="39"/>
  <c r="Q20" i="22"/>
  <c r="P21" i="22"/>
  <c r="O22" i="22"/>
  <c r="E23" i="22"/>
  <c r="A23" i="22"/>
  <c r="B24" i="22"/>
  <c r="D23" i="22"/>
  <c r="C25" i="39" l="1" a="1"/>
  <c r="C25" i="39" s="1"/>
  <c r="G25" i="39" s="1"/>
  <c r="C23" i="22" a="1"/>
  <c r="C23" i="22" s="1"/>
  <c r="G23" i="22" s="1"/>
  <c r="M25" i="39"/>
  <c r="A26" i="39"/>
  <c r="D26" i="39"/>
  <c r="B27" i="39"/>
  <c r="E26" i="39"/>
  <c r="Q21" i="22"/>
  <c r="P22" i="22"/>
  <c r="B25" i="22"/>
  <c r="E24" i="22"/>
  <c r="D24" i="22"/>
  <c r="A24" i="22"/>
  <c r="O23" i="22"/>
  <c r="C24" i="22" l="1" a="1"/>
  <c r="C24" i="22" s="1"/>
  <c r="G24" i="22" s="1"/>
  <c r="C26" i="39" a="1"/>
  <c r="C26" i="39" s="1"/>
  <c r="G26" i="39" s="1"/>
  <c r="O25" i="39"/>
  <c r="P25" i="39" s="1"/>
  <c r="N25" i="39"/>
  <c r="D27" i="39"/>
  <c r="E27" i="39"/>
  <c r="A27" i="39"/>
  <c r="B28" i="39"/>
  <c r="P23" i="22"/>
  <c r="A25" i="22"/>
  <c r="B26" i="22"/>
  <c r="E25" i="22"/>
  <c r="D25" i="22"/>
  <c r="O24" i="22"/>
  <c r="Q22" i="22"/>
  <c r="C27" i="39" l="1" a="1"/>
  <c r="C27" i="39" s="1"/>
  <c r="G27" i="39" s="1"/>
  <c r="C25" i="22" a="1"/>
  <c r="C25" i="22" s="1"/>
  <c r="G25" i="22" s="1"/>
  <c r="Q25" i="39"/>
  <c r="Q37" i="39" s="1"/>
  <c r="B3" i="39" s="1"/>
  <c r="B29" i="39"/>
  <c r="E28" i="39"/>
  <c r="D28" i="39"/>
  <c r="A28" i="39"/>
  <c r="Q23" i="22"/>
  <c r="P24" i="22"/>
  <c r="D26" i="22"/>
  <c r="E26" i="22"/>
  <c r="B27" i="22"/>
  <c r="A26" i="22"/>
  <c r="O25" i="22"/>
  <c r="C28" i="39" l="1" a="1"/>
  <c r="C28" i="39" s="1"/>
  <c r="G28" i="39" s="1"/>
  <c r="C26" i="22" a="1"/>
  <c r="C26" i="22" s="1"/>
  <c r="G26" i="22" s="1"/>
  <c r="C16" i="1"/>
  <c r="D16" i="1" s="1"/>
  <c r="A29" i="39"/>
  <c r="B30" i="39"/>
  <c r="E29" i="39"/>
  <c r="D29" i="39"/>
  <c r="P25" i="22"/>
  <c r="A27" i="22"/>
  <c r="B28" i="22"/>
  <c r="D27" i="22"/>
  <c r="E27" i="22"/>
  <c r="O26" i="22"/>
  <c r="Q24" i="22"/>
  <c r="C29" i="39" l="1" a="1"/>
  <c r="C29" i="39" s="1"/>
  <c r="G29" i="39" s="1"/>
  <c r="C27" i="22" a="1"/>
  <c r="C27" i="22" s="1"/>
  <c r="G27" i="22" s="1"/>
  <c r="E30" i="39"/>
  <c r="A30" i="39"/>
  <c r="D30" i="39"/>
  <c r="B31" i="39"/>
  <c r="P26" i="22"/>
  <c r="O27" i="22"/>
  <c r="A28" i="22"/>
  <c r="B29" i="22"/>
  <c r="D28" i="22"/>
  <c r="E28" i="22"/>
  <c r="C28" i="22" s="1" a="1"/>
  <c r="C28" i="22" s="1"/>
  <c r="Q25" i="22"/>
  <c r="C30" i="39" l="1" a="1"/>
  <c r="C30" i="39" s="1"/>
  <c r="G30" i="39" s="1"/>
  <c r="G28" i="22"/>
  <c r="A31" i="39"/>
  <c r="B32" i="39"/>
  <c r="E31" i="39"/>
  <c r="D31" i="39"/>
  <c r="O28" i="22"/>
  <c r="P27" i="22"/>
  <c r="A29" i="22"/>
  <c r="B30" i="22"/>
  <c r="D29" i="22"/>
  <c r="E29" i="22"/>
  <c r="Q26" i="22"/>
  <c r="C31" i="39" l="1" a="1"/>
  <c r="C31" i="39" s="1"/>
  <c r="G31" i="39" s="1"/>
  <c r="C29" i="22" a="1"/>
  <c r="C29" i="22" s="1"/>
  <c r="G29" i="22" s="1"/>
  <c r="A32" i="39"/>
  <c r="B33" i="39"/>
  <c r="E32" i="39"/>
  <c r="D32" i="39"/>
  <c r="Q27" i="22"/>
  <c r="P28" i="22"/>
  <c r="O29" i="22"/>
  <c r="E30" i="22"/>
  <c r="A30" i="22"/>
  <c r="B31" i="22"/>
  <c r="D30" i="22"/>
  <c r="C32" i="39" l="1" a="1"/>
  <c r="C32" i="39" s="1"/>
  <c r="G32" i="39" s="1"/>
  <c r="C30" i="22" a="1"/>
  <c r="C30" i="22" s="1"/>
  <c r="G30" i="22" s="1"/>
  <c r="B34" i="39"/>
  <c r="E33" i="39"/>
  <c r="D33" i="39"/>
  <c r="A33" i="39"/>
  <c r="P29" i="22"/>
  <c r="D31" i="22"/>
  <c r="A31" i="22"/>
  <c r="B32" i="22"/>
  <c r="E31" i="22"/>
  <c r="O30" i="22"/>
  <c r="Q28" i="22"/>
  <c r="C33" i="39" l="1" a="1"/>
  <c r="C33" i="39" s="1"/>
  <c r="G33" i="39" s="1"/>
  <c r="C31" i="22" a="1"/>
  <c r="C31" i="22" s="1"/>
  <c r="G31" i="22" s="1"/>
  <c r="A34" i="39"/>
  <c r="D34" i="39"/>
  <c r="B35" i="39"/>
  <c r="B36" i="39" s="1"/>
  <c r="E34" i="39"/>
  <c r="P30" i="22"/>
  <c r="D32" i="22"/>
  <c r="A32" i="22"/>
  <c r="B33" i="22"/>
  <c r="E32" i="22"/>
  <c r="O31" i="22"/>
  <c r="Q29" i="22"/>
  <c r="C34" i="39" l="1" a="1"/>
  <c r="C34" i="39" s="1"/>
  <c r="G34" i="39" s="1"/>
  <c r="C32" i="22" a="1"/>
  <c r="C32" i="22" s="1"/>
  <c r="G32" i="22" s="1"/>
  <c r="D36" i="39"/>
  <c r="A36" i="39"/>
  <c r="E36" i="39"/>
  <c r="D35" i="39"/>
  <c r="A35" i="39"/>
  <c r="E35" i="39"/>
  <c r="C35" i="39" s="1" a="1"/>
  <c r="C35" i="39" s="1"/>
  <c r="O32" i="22"/>
  <c r="P31" i="22"/>
  <c r="A33" i="22"/>
  <c r="D33" i="22"/>
  <c r="B34" i="22"/>
  <c r="E33" i="22"/>
  <c r="Q30" i="22"/>
  <c r="C33" i="22" l="1" a="1"/>
  <c r="C33" i="22" s="1"/>
  <c r="G33" i="22" s="1"/>
  <c r="C36" i="39" a="1"/>
  <c r="C36" i="39" s="1"/>
  <c r="G36" i="39" s="1"/>
  <c r="G35" i="39"/>
  <c r="Q31" i="22"/>
  <c r="P32" i="22"/>
  <c r="O33" i="22"/>
  <c r="B35" i="22"/>
  <c r="D34" i="22"/>
  <c r="A34" i="22"/>
  <c r="E34" i="22"/>
  <c r="C34" i="22" s="1" a="1"/>
  <c r="C34" i="22" s="1"/>
  <c r="G34" i="22" l="1"/>
  <c r="O34" i="22"/>
  <c r="P33" i="22"/>
  <c r="E35" i="22"/>
  <c r="B36" i="22"/>
  <c r="D35" i="22"/>
  <c r="A35" i="22"/>
  <c r="Q32" i="22"/>
  <c r="C35" i="22" l="1" a="1"/>
  <c r="C35" i="22" s="1"/>
  <c r="G35" i="22" s="1"/>
  <c r="Q33" i="22"/>
  <c r="E36" i="22"/>
  <c r="D36" i="22"/>
  <c r="A36" i="22"/>
  <c r="B37" i="22"/>
  <c r="O35" i="22"/>
  <c r="P34" i="22"/>
  <c r="C36" i="22" l="1" a="1"/>
  <c r="C36" i="22" s="1"/>
  <c r="G36" i="22" s="1"/>
  <c r="Q34" i="22"/>
  <c r="P35" i="22"/>
  <c r="E37" i="22"/>
  <c r="D37" i="22"/>
  <c r="B38" i="22"/>
  <c r="A37" i="22"/>
  <c r="O36" i="22"/>
  <c r="C37" i="22" l="1" a="1"/>
  <c r="C37" i="22" s="1"/>
  <c r="G37" i="22" s="1"/>
  <c r="P36" i="22"/>
  <c r="A38" i="22"/>
  <c r="E38" i="22"/>
  <c r="D38" i="22"/>
  <c r="O37" i="22"/>
  <c r="Q35" i="22"/>
  <c r="C38" i="22" l="1" a="1"/>
  <c r="C38" i="22" s="1"/>
  <c r="G38" i="22" s="1"/>
  <c r="P37" i="22"/>
  <c r="O38" i="22"/>
  <c r="Q36" i="22"/>
  <c r="Q37" i="22" l="1"/>
  <c r="P38" i="22"/>
  <c r="T10" i="1"/>
  <c r="W10" i="1" l="1"/>
  <c r="V10" i="1"/>
  <c r="S10" i="1"/>
  <c r="Q38" i="22"/>
  <c r="Q10" i="1"/>
  <c r="P10" i="1"/>
  <c r="R10" i="1"/>
  <c r="Y10" i="1"/>
  <c r="Q39" i="22" l="1"/>
  <c r="Z10" i="1"/>
  <c r="X10" i="1"/>
  <c r="B3" i="22" l="1"/>
  <c r="C15" i="1"/>
  <c r="U10" i="1"/>
  <c r="D15" i="1" l="1"/>
  <c r="C27" i="1"/>
  <c r="D27" i="1" s="1"/>
  <c r="B2" i="51" s="1"/>
  <c r="N10" i="1"/>
  <c r="O10" i="1"/>
  <c r="B2" i="59" l="1"/>
  <c r="B2" i="22"/>
  <c r="B2" i="60"/>
  <c r="B2" i="57"/>
  <c r="B2" i="58"/>
  <c r="B2" i="54"/>
  <c r="B2" i="56"/>
  <c r="B2" i="52"/>
  <c r="B2" i="53"/>
  <c r="B2" i="50"/>
  <c r="B2" i="3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<sst xmlns="http://schemas.openxmlformats.org/spreadsheetml/2006/main" count="1027" uniqueCount="135">
  <si>
    <t>År</t>
  </si>
  <si>
    <t>Navn</t>
  </si>
  <si>
    <t>AU-ID</t>
  </si>
  <si>
    <t>Overført fra tidligere perioder</t>
  </si>
  <si>
    <t>Forskel</t>
  </si>
  <si>
    <t>Januar</t>
  </si>
  <si>
    <t>Februar</t>
  </si>
  <si>
    <t>Marts</t>
  </si>
  <si>
    <t>April</t>
  </si>
  <si>
    <t>Maj</t>
  </si>
  <si>
    <t>Juni</t>
  </si>
  <si>
    <t>Juli</t>
  </si>
  <si>
    <t>August</t>
  </si>
  <si>
    <t>September</t>
  </si>
  <si>
    <t>Oktober</t>
  </si>
  <si>
    <t>November</t>
  </si>
  <si>
    <t>December</t>
  </si>
  <si>
    <t>Måned</t>
  </si>
  <si>
    <t>N</t>
  </si>
  <si>
    <t>R</t>
  </si>
  <si>
    <t>Dag</t>
  </si>
  <si>
    <t>dag-formel</t>
  </si>
  <si>
    <t>dag-dato</t>
  </si>
  <si>
    <t>Start</t>
  </si>
  <si>
    <t>Hvis minus</t>
  </si>
  <si>
    <t>Timer</t>
  </si>
  <si>
    <t>Minutter</t>
  </si>
  <si>
    <t>Arbejdsdage</t>
  </si>
  <si>
    <t>Daglige timer</t>
  </si>
  <si>
    <t>Timer/minutter</t>
  </si>
  <si>
    <t>Timenorm udfra ugentligt time antal</t>
  </si>
  <si>
    <t>Antal timer måned</t>
  </si>
  <si>
    <t>TM</t>
  </si>
  <si>
    <t xml:space="preserve">Timenorm måned - fravær </t>
  </si>
  <si>
    <t>Antal registerede arbejdstimer i måneden</t>
  </si>
  <si>
    <t>F</t>
  </si>
  <si>
    <t>Forskel mellem N og TM</t>
  </si>
  <si>
    <t>Delta difference  i tal</t>
  </si>
  <si>
    <t>Forskel mellem TM og F</t>
  </si>
  <si>
    <t>Registrede timer +/-</t>
  </si>
  <si>
    <t>Forskel-decimaltal</t>
  </si>
  <si>
    <t>-</t>
  </si>
  <si>
    <t>Tekst til decimal</t>
  </si>
  <si>
    <t>Skærtorsdag</t>
  </si>
  <si>
    <t>Langfredag</t>
  </si>
  <si>
    <t>Påskedag</t>
  </si>
  <si>
    <t>2. påskedag</t>
  </si>
  <si>
    <t>Store Bededag</t>
  </si>
  <si>
    <t>Kristi Himmelfart</t>
  </si>
  <si>
    <t>Pinsedag</t>
  </si>
  <si>
    <t>2. pinsedag</t>
  </si>
  <si>
    <t>X</t>
  </si>
  <si>
    <t>Årstal</t>
  </si>
  <si>
    <t>A</t>
  </si>
  <si>
    <t>Rest</t>
  </si>
  <si>
    <t>B</t>
  </si>
  <si>
    <t>Heltal</t>
  </si>
  <si>
    <t>C</t>
  </si>
  <si>
    <t>D</t>
  </si>
  <si>
    <t>E</t>
  </si>
  <si>
    <t>G</t>
  </si>
  <si>
    <t>H</t>
  </si>
  <si>
    <t>J</t>
  </si>
  <si>
    <t>K</t>
  </si>
  <si>
    <t>L</t>
  </si>
  <si>
    <t>M</t>
  </si>
  <si>
    <t>P</t>
  </si>
  <si>
    <t>Q</t>
  </si>
  <si>
    <t>Formel</t>
  </si>
  <si>
    <t>Mellemregning</t>
  </si>
  <si>
    <t>Diff ift Påskesøndag</t>
  </si>
  <si>
    <t>1. s.e. påske</t>
  </si>
  <si>
    <t>2. s.e. påske</t>
  </si>
  <si>
    <t>3. s.e. påske</t>
  </si>
  <si>
    <t>4. s.e. påske</t>
  </si>
  <si>
    <t>5. s.e. påske</t>
  </si>
  <si>
    <t>6.s.e. påske</t>
  </si>
  <si>
    <t>Normtid</t>
  </si>
  <si>
    <t>Helligdagsudregning</t>
  </si>
  <si>
    <t>00:00</t>
  </si>
  <si>
    <t>Interval 1</t>
  </si>
  <si>
    <t>Interval 2</t>
  </si>
  <si>
    <t>Interval 3</t>
  </si>
  <si>
    <t>SUM:</t>
  </si>
  <si>
    <t>Master data</t>
  </si>
  <si>
    <t>Start date (only fill out if you are a new hire)</t>
  </si>
  <si>
    <t>Enter your first and last name</t>
  </si>
  <si>
    <t>Enter your AU ID</t>
  </si>
  <si>
    <t>Any balance carried forward from previous periods</t>
  </si>
  <si>
    <t>Month</t>
  </si>
  <si>
    <t>Balance from previous period</t>
  </si>
  <si>
    <t>Total difference incl. balance from previous period</t>
  </si>
  <si>
    <t>Total time</t>
  </si>
  <si>
    <t>Holiday</t>
  </si>
  <si>
    <t>Date</t>
  </si>
  <si>
    <t>New Year's Day</t>
  </si>
  <si>
    <t>Palm Sunday</t>
  </si>
  <si>
    <t>Good Friday</t>
  </si>
  <si>
    <t>Easter Sunday</t>
  </si>
  <si>
    <t>Easter Monday</t>
  </si>
  <si>
    <t>Ascension Day</t>
  </si>
  <si>
    <t>Pentecost</t>
  </si>
  <si>
    <t>Whit Monday</t>
  </si>
  <si>
    <t>New Years Eve</t>
  </si>
  <si>
    <t>Christmas Eve</t>
  </si>
  <si>
    <t>Christmas Day</t>
  </si>
  <si>
    <t>Second Christmas Day</t>
  </si>
  <si>
    <t>End</t>
  </si>
  <si>
    <t>Standard work hours</t>
  </si>
  <si>
    <t>Total time current month</t>
  </si>
  <si>
    <t>Year</t>
  </si>
  <si>
    <t>Week</t>
  </si>
  <si>
    <t>Day</t>
  </si>
  <si>
    <t>Code</t>
  </si>
  <si>
    <t>Actual hours worked</t>
  </si>
  <si>
    <t>Worked hours</t>
  </si>
  <si>
    <t>January</t>
  </si>
  <si>
    <t>Description</t>
  </si>
  <si>
    <t>Number format</t>
  </si>
  <si>
    <t>All numbers must be written in the hours: minutes format</t>
  </si>
  <si>
    <t>Difference - time</t>
  </si>
  <si>
    <t>Remarks</t>
  </si>
  <si>
    <t>February</t>
  </si>
  <si>
    <t>Actual hours worked calculator</t>
  </si>
  <si>
    <t>Time worked</t>
  </si>
  <si>
    <t>March</t>
  </si>
  <si>
    <t>May</t>
  </si>
  <si>
    <t>June</t>
  </si>
  <si>
    <t>July</t>
  </si>
  <si>
    <t>October</t>
  </si>
  <si>
    <t xml:space="preserve">Normal working day. You only need to register your working time on days when you work more or less than your standard daily working hours. </t>
  </si>
  <si>
    <t>Constitution Day</t>
  </si>
  <si>
    <t>Once you select ‘R’, you can either enter both arrival and departure times (start -end) or enter your total working time for the day in the column "actual hours worked". If both formats are used at the same time then only "actual hours worked" will have effect.</t>
  </si>
  <si>
    <t>End date (only if your last day of work will take place this year)</t>
  </si>
  <si>
    <t>Maundy Thursday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</si>
</sst>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d"/>
    <numFmt numFmtId="165" formatCode="dd"/>
    <numFmt numFmtId="166" formatCode="hh:mm;@"/>
    <numFmt numFmtId="167" formatCode="yyyy"/>
    <numFmt numFmtId="168" formatCode="mmmm"/>
    <numFmt numFmtId="169" formatCode="0.0"/>
    <numFmt numFmtId="170" formatCode="[h]:mm;@"/>
    <numFmt numFmtId="171" formatCode="ddd\ dd\ mmmm\ yyyy"/>
    <numFmt numFmtId="172" formatCode="ddd\ dd/mm/yyyy"/>
    <numFmt numFmtId="173" formatCode="[$-F400]h:mm:ss\ AM/PM"/>
  </numFmts>
  <fonts count="9" x14ac:knownFonts="1">
    <font>
      <sz val="11"/>
      <color theme="1"/>
      <name val="Aptos Narrow"/>
      <family val="2"/>
      <scheme val="minor"/>
    </font>
    <font>
      <sz val="8"/>
      <name val="Aptos Narrow"/>
      <family val="2"/>
      <scheme val="minor"/>
    </font>
    <font>
      <sz val="11"/>
      <color theme="1"/>
      <name val="AU Passata"/>
      <family val="2"/>
    </font>
    <font>
      <sz val="10"/>
      <name val="AU Passata"/>
      <family val="2"/>
    </font>
    <font>
      <b/>
      <sz val="11"/>
      <color theme="1"/>
      <name val="AU Passata"/>
      <family val="2"/>
    </font>
    <font>
      <b/>
      <sz val="11"/>
      <name val="AU Passata"/>
      <family val="2"/>
    </font>
    <font>
      <sz val="11"/>
      <color rgb="FF000000"/>
      <name val="AU Passata"/>
      <family val="2"/>
    </font>
    <font>
      <sz val="10"/>
      <name val="Arial"/>
      <family val="2"/>
    </font>
    <font>
      <b/>
      <sz val="10"/>
      <name val="Arial"/>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s>
  <borders count="38">
    <border>
      <left/>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s>
  <cellStyleXfs count="2">
    <xf numFmtId="0" fontId="0" fillId="0" borderId="0"/>
    <xf numFmtId="0" fontId="7" fillId="0" borderId="0"/>
  </cellStyleXfs>
  <cellXfs count="116">
    <xf numFmtId="0" fontId="0" fillId="0" borderId="0" xfId="0"/>
    <xf numFmtId="166" fontId="0" fillId="0" borderId="0" xfId="0" applyNumberFormat="1"/>
    <xf numFmtId="2" fontId="0" fillId="0" borderId="0" xfId="0" applyNumberFormat="1"/>
    <xf numFmtId="20" fontId="0" fillId="0" borderId="0" xfId="0" applyNumberForma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xf numFmtId="165" fontId="2" fillId="0" borderId="4" xfId="0" applyNumberFormat="1" applyFont="1" applyBorder="1"/>
    <xf numFmtId="164" fontId="2" fillId="0" borderId="4" xfId="0" applyNumberFormat="1" applyFont="1" applyBorder="1" applyAlignment="1">
      <alignment horizontal="right"/>
    </xf>
    <xf numFmtId="0" fontId="3" fillId="0" borderId="4" xfId="0" applyFont="1" applyBorder="1" applyAlignment="1" applyProtection="1">
      <alignment horizontal="center"/>
      <protection locked="0"/>
    </xf>
    <xf numFmtId="20" fontId="2" fillId="0" borderId="4" xfId="0" applyNumberFormat="1" applyFont="1" applyBorder="1" applyProtection="1">
      <protection locked="0"/>
    </xf>
    <xf numFmtId="20" fontId="2" fillId="0" borderId="4" xfId="0" applyNumberFormat="1" applyFont="1" applyBorder="1"/>
    <xf numFmtId="0" fontId="2" fillId="3" borderId="10" xfId="0" applyFont="1" applyFill="1" applyBorder="1"/>
    <xf numFmtId="0" fontId="2" fillId="3" borderId="6" xfId="0" applyFont="1" applyFill="1" applyBorder="1"/>
    <xf numFmtId="0" fontId="2" fillId="2" borderId="7" xfId="0" applyFont="1" applyFill="1" applyBorder="1" applyProtection="1">
      <protection locked="0"/>
    </xf>
    <xf numFmtId="169" fontId="0" fillId="0" borderId="0" xfId="0" applyNumberFormat="1"/>
    <xf numFmtId="167" fontId="2" fillId="3" borderId="8" xfId="0" applyNumberFormat="1" applyFont="1" applyFill="1" applyBorder="1"/>
    <xf numFmtId="168" fontId="2" fillId="0" borderId="11" xfId="0" applyNumberFormat="1" applyFont="1" applyBorder="1"/>
    <xf numFmtId="14" fontId="0" fillId="0" borderId="0" xfId="0" applyNumberFormat="1"/>
    <xf numFmtId="46" fontId="0" fillId="0" borderId="0" xfId="0" applyNumberFormat="1"/>
    <xf numFmtId="0" fontId="0" fillId="0" borderId="12" xfId="0" applyBorder="1"/>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4" fontId="0" fillId="0" borderId="0" xfId="0" applyNumberFormat="1"/>
    <xf numFmtId="2" fontId="2" fillId="0" borderId="0" xfId="0" applyNumberFormat="1" applyFont="1" applyAlignment="1">
      <alignment horizontal="right"/>
    </xf>
    <xf numFmtId="0" fontId="2" fillId="0" borderId="9" xfId="0" applyFont="1" applyBorder="1" applyAlignment="1">
      <alignment wrapText="1"/>
    </xf>
    <xf numFmtId="0" fontId="2" fillId="0" borderId="4" xfId="0" applyFont="1" applyBorder="1" applyAlignment="1">
      <alignment horizontal="right"/>
    </xf>
    <xf numFmtId="0" fontId="2" fillId="2" borderId="5" xfId="0" applyFont="1" applyFill="1" applyBorder="1" applyProtection="1">
      <protection locked="0"/>
    </xf>
    <xf numFmtId="0" fontId="5" fillId="3" borderId="5" xfId="0" applyFont="1" applyFill="1" applyBorder="1"/>
    <xf numFmtId="0" fontId="2" fillId="0" borderId="0" xfId="0" applyFont="1"/>
    <xf numFmtId="2" fontId="2" fillId="0" borderId="0" xfId="0" applyNumberFormat="1" applyFont="1"/>
    <xf numFmtId="168" fontId="5" fillId="3" borderId="5" xfId="0" applyNumberFormat="1" applyFont="1" applyFill="1" applyBorder="1" applyAlignment="1">
      <alignment horizontal="right"/>
    </xf>
    <xf numFmtId="0" fontId="2" fillId="0" borderId="0" xfId="0" quotePrefix="1" applyFont="1"/>
    <xf numFmtId="0" fontId="2" fillId="3" borderId="0" xfId="0" applyFont="1" applyFill="1"/>
    <xf numFmtId="0" fontId="4" fillId="0" borderId="15" xfId="0" applyFont="1" applyBorder="1"/>
    <xf numFmtId="0" fontId="4" fillId="0" borderId="16" xfId="0" applyFont="1" applyBorder="1"/>
    <xf numFmtId="0" fontId="2" fillId="0" borderId="5" xfId="0" applyFont="1" applyBorder="1" applyAlignment="1">
      <alignment wrapText="1"/>
    </xf>
    <xf numFmtId="0" fontId="6" fillId="0" borderId="5" xfId="0" applyFont="1" applyBorder="1" applyAlignment="1">
      <alignment vertical="center" wrapText="1"/>
    </xf>
    <xf numFmtId="0" fontId="6" fillId="0" borderId="9" xfId="0" applyFont="1" applyBorder="1" applyAlignment="1">
      <alignment vertical="center" wrapText="1"/>
    </xf>
    <xf numFmtId="0" fontId="2" fillId="0" borderId="13" xfId="0" applyFont="1" applyBorder="1"/>
    <xf numFmtId="0" fontId="2" fillId="0" borderId="14" xfId="0" applyFont="1" applyBorder="1"/>
    <xf numFmtId="0" fontId="2" fillId="0" borderId="17" xfId="0" applyFont="1" applyBorder="1" applyAlignment="1">
      <alignment wrapText="1"/>
    </xf>
    <xf numFmtId="0" fontId="6" fillId="0" borderId="17" xfId="0" applyFont="1" applyBorder="1" applyAlignment="1">
      <alignment vertical="center" wrapText="1"/>
    </xf>
    <xf numFmtId="0" fontId="2" fillId="3" borderId="18" xfId="0" applyFont="1" applyFill="1" applyBorder="1"/>
    <xf numFmtId="0" fontId="4" fillId="0" borderId="19" xfId="0" applyFont="1" applyBorder="1"/>
    <xf numFmtId="0" fontId="4" fillId="0" borderId="20" xfId="0" applyFont="1" applyBorder="1"/>
    <xf numFmtId="0" fontId="2" fillId="3" borderId="8" xfId="0" applyFont="1" applyFill="1" applyBorder="1" applyAlignment="1">
      <alignment wrapText="1"/>
    </xf>
    <xf numFmtId="0" fontId="2" fillId="0" borderId="9" xfId="0" applyFont="1" applyBorder="1"/>
    <xf numFmtId="14" fontId="2" fillId="2" borderId="24" xfId="0" applyNumberFormat="1" applyFont="1" applyFill="1" applyBorder="1" applyProtection="1">
      <protection locked="0"/>
    </xf>
    <xf numFmtId="14" fontId="2" fillId="2" borderId="26" xfId="0" applyNumberFormat="1" applyFont="1" applyFill="1" applyBorder="1" applyProtection="1">
      <protection locked="0"/>
    </xf>
    <xf numFmtId="0" fontId="4" fillId="0" borderId="0" xfId="0" applyFont="1"/>
    <xf numFmtId="0" fontId="2" fillId="0" borderId="0" xfId="0" applyFont="1" applyAlignment="1">
      <alignment wrapText="1"/>
    </xf>
    <xf numFmtId="0" fontId="6" fillId="0" borderId="0" xfId="0" applyFont="1" applyAlignment="1">
      <alignment vertical="center" wrapText="1"/>
    </xf>
    <xf numFmtId="168" fontId="5" fillId="0" borderId="5" xfId="0" applyNumberFormat="1" applyFont="1" applyBorder="1" applyAlignment="1">
      <alignment horizontal="right"/>
    </xf>
    <xf numFmtId="49" fontId="2" fillId="2" borderId="5" xfId="0" applyNumberFormat="1" applyFont="1" applyFill="1" applyBorder="1" applyAlignment="1" applyProtection="1">
      <alignment horizontal="right"/>
      <protection locked="0"/>
    </xf>
    <xf numFmtId="46" fontId="2" fillId="0" borderId="0" xfId="0" applyNumberFormat="1" applyFont="1"/>
    <xf numFmtId="4" fontId="2" fillId="0" borderId="0" xfId="0" applyNumberFormat="1" applyFont="1"/>
    <xf numFmtId="49" fontId="2" fillId="0" borderId="0" xfId="0" quotePrefix="1" applyNumberFormat="1" applyFont="1"/>
    <xf numFmtId="0" fontId="2" fillId="0" borderId="5" xfId="0" applyFont="1" applyBorder="1" applyAlignment="1">
      <alignment horizontal="center"/>
    </xf>
    <xf numFmtId="2" fontId="2" fillId="0" borderId="5" xfId="0" applyNumberFormat="1" applyFont="1" applyBorder="1"/>
    <xf numFmtId="170" fontId="2" fillId="0" borderId="5" xfId="0" applyNumberFormat="1" applyFont="1" applyBorder="1" applyAlignment="1">
      <alignment horizontal="right"/>
    </xf>
    <xf numFmtId="170" fontId="2" fillId="0" borderId="0" xfId="0" applyNumberFormat="1" applyFont="1" applyAlignment="1">
      <alignment horizontal="right"/>
    </xf>
    <xf numFmtId="0" fontId="3" fillId="0" borderId="0" xfId="1" applyFont="1"/>
    <xf numFmtId="0" fontId="2" fillId="0" borderId="5" xfId="0" applyFont="1" applyBorder="1"/>
    <xf numFmtId="4" fontId="2" fillId="0" borderId="5" xfId="0" applyNumberFormat="1" applyFont="1" applyBorder="1" applyAlignment="1">
      <alignment horizontal="right"/>
    </xf>
    <xf numFmtId="0" fontId="2" fillId="3" borderId="5" xfId="0" quotePrefix="1" applyFont="1" applyFill="1" applyBorder="1" applyAlignment="1">
      <alignment horizontal="center"/>
    </xf>
    <xf numFmtId="4" fontId="2" fillId="3" borderId="5" xfId="0" applyNumberFormat="1" applyFont="1" applyFill="1" applyBorder="1" applyAlignment="1">
      <alignment horizontal="right"/>
    </xf>
    <xf numFmtId="170" fontId="2" fillId="3" borderId="5" xfId="0" applyNumberFormat="1" applyFont="1" applyFill="1" applyBorder="1" applyAlignment="1">
      <alignment horizontal="right"/>
    </xf>
    <xf numFmtId="171" fontId="3" fillId="0" borderId="0" xfId="1" applyNumberFormat="1" applyFont="1"/>
    <xf numFmtId="14" fontId="2" fillId="0" borderId="5" xfId="0" applyNumberFormat="1" applyFont="1" applyBorder="1"/>
    <xf numFmtId="170" fontId="2" fillId="0" borderId="9" xfId="0" applyNumberFormat="1" applyFont="1" applyBorder="1" applyAlignment="1">
      <alignment horizontal="right"/>
    </xf>
    <xf numFmtId="14" fontId="2" fillId="0" borderId="0" xfId="0" applyNumberFormat="1" applyFont="1"/>
    <xf numFmtId="0" fontId="2" fillId="0" borderId="12" xfId="0" applyFont="1" applyBorder="1"/>
    <xf numFmtId="166" fontId="2" fillId="0" borderId="0" xfId="0" applyNumberFormat="1" applyFont="1"/>
    <xf numFmtId="20" fontId="2" fillId="0" borderId="0" xfId="0" applyNumberFormat="1" applyFont="1"/>
    <xf numFmtId="169" fontId="2" fillId="0" borderId="0" xfId="0" applyNumberFormat="1" applyFont="1"/>
    <xf numFmtId="0" fontId="7" fillId="0" borderId="0" xfId="1"/>
    <xf numFmtId="0" fontId="8" fillId="0" borderId="0" xfId="1" applyFont="1"/>
    <xf numFmtId="172" fontId="7" fillId="0" borderId="0" xfId="1" applyNumberFormat="1"/>
    <xf numFmtId="173" fontId="2" fillId="0" borderId="0" xfId="0" applyNumberFormat="1" applyFont="1"/>
    <xf numFmtId="0" fontId="2" fillId="0" borderId="5" xfId="0" applyFont="1" applyBorder="1" applyAlignment="1">
      <alignment horizontal="right"/>
    </xf>
    <xf numFmtId="0" fontId="2" fillId="0" borderId="29" xfId="0" applyFont="1" applyBorder="1"/>
    <xf numFmtId="0" fontId="4" fillId="0" borderId="5" xfId="0" applyFont="1" applyBorder="1" applyAlignment="1">
      <alignment horizontal="right"/>
    </xf>
    <xf numFmtId="0" fontId="4" fillId="0" borderId="28" xfId="0" applyFont="1" applyBorder="1" applyAlignment="1">
      <alignment horizontal="right"/>
    </xf>
    <xf numFmtId="20" fontId="4" fillId="3" borderId="5" xfId="0" applyNumberFormat="1" applyFont="1" applyFill="1" applyBorder="1" applyProtection="1">
      <protection locked="0"/>
    </xf>
    <xf numFmtId="0" fontId="2" fillId="3" borderId="5" xfId="0" applyFont="1" applyFill="1" applyBorder="1" applyAlignment="1">
      <alignment horizontal="right"/>
    </xf>
    <xf numFmtId="0" fontId="4" fillId="3" borderId="10" xfId="0" applyFont="1" applyFill="1" applyBorder="1"/>
    <xf numFmtId="0" fontId="4" fillId="3" borderId="30" xfId="0" applyFont="1" applyFill="1" applyBorder="1"/>
    <xf numFmtId="0" fontId="0" fillId="0" borderId="31" xfId="0" applyBorder="1"/>
    <xf numFmtId="0" fontId="4" fillId="3" borderId="33" xfId="0" applyFont="1" applyFill="1" applyBorder="1"/>
    <xf numFmtId="0" fontId="2" fillId="4" borderId="35" xfId="0" applyFont="1" applyFill="1" applyBorder="1"/>
    <xf numFmtId="0" fontId="2" fillId="4" borderId="36" xfId="0" applyFont="1" applyFill="1" applyBorder="1"/>
    <xf numFmtId="0" fontId="2" fillId="4" borderId="37" xfId="0" applyFont="1" applyFill="1" applyBorder="1"/>
    <xf numFmtId="0" fontId="0" fillId="0" borderId="27" xfId="0" applyBorder="1"/>
    <xf numFmtId="0" fontId="5" fillId="3" borderId="5" xfId="0" applyFont="1" applyFill="1" applyBorder="1" applyAlignment="1">
      <alignment horizontal="center"/>
    </xf>
    <xf numFmtId="20" fontId="2" fillId="2" borderId="28" xfId="0" applyNumberFormat="1" applyFont="1" applyFill="1" applyBorder="1" applyProtection="1">
      <protection locked="0"/>
    </xf>
    <xf numFmtId="0" fontId="2" fillId="0" borderId="4" xfId="0" applyFont="1" applyBorder="1"/>
    <xf numFmtId="0" fontId="2" fillId="0" borderId="0" xfId="0" applyFont="1" applyAlignment="1">
      <alignment horizontal="center"/>
    </xf>
    <xf numFmtId="0" fontId="4" fillId="0" borderId="0" xfId="0" applyFont="1" applyAlignment="1">
      <alignment horizontal="center"/>
    </xf>
    <xf numFmtId="0" fontId="2" fillId="0" borderId="5" xfId="0" applyFont="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4" fillId="0" borderId="32" xfId="0" applyFont="1" applyBorder="1" applyAlignment="1">
      <alignment horizontal="left"/>
    </xf>
    <xf numFmtId="0" fontId="4" fillId="0" borderId="26" xfId="0" applyFont="1" applyBorder="1" applyAlignment="1">
      <alignment horizontal="left"/>
    </xf>
    <xf numFmtId="0" fontId="4" fillId="0" borderId="34" xfId="0" applyFont="1" applyBorder="1" applyAlignment="1">
      <alignment horizontal="center"/>
    </xf>
    <xf numFmtId="0" fontId="4" fillId="0" borderId="20" xfId="0" applyFont="1" applyBorder="1" applyAlignment="1">
      <alignment horizontal="center"/>
    </xf>
    <xf numFmtId="0" fontId="2" fillId="0" borderId="21" xfId="0" applyFont="1" applyBorder="1" applyAlignment="1">
      <alignment horizontal="left" wrapText="1"/>
    </xf>
    <xf numFmtId="0" fontId="2" fillId="0" borderId="22" xfId="0" applyFont="1" applyBorder="1" applyAlignment="1">
      <alignment horizontal="left"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2" fillId="0" borderId="23" xfId="0" applyFont="1" applyBorder="1" applyAlignment="1">
      <alignment horizontal="left"/>
    </xf>
    <xf numFmtId="0" fontId="2" fillId="0" borderId="14" xfId="0" applyFont="1" applyBorder="1" applyAlignment="1">
      <alignment horizontal="left"/>
    </xf>
    <xf numFmtId="0" fontId="2" fillId="0" borderId="17" xfId="0" applyFont="1" applyBorder="1" applyAlignment="1" applyProtection="1">
      <alignment horizontal="left"/>
      <protection locked="0"/>
    </xf>
    <xf numFmtId="0" fontId="2" fillId="0" borderId="21" xfId="0" applyFont="1" applyBorder="1" applyAlignment="1" applyProtection="1">
      <alignment horizontal="left"/>
      <protection locked="0"/>
    </xf>
  </cellXfs>
  <cellStyles count="2">
    <cellStyle name="Normal" xfId="0" builtinId="0"/>
    <cellStyle name="Normal 5" xfId="1" xr:uid="{5DBF72BD-41D6-418B-A34C-A6B174BF9063}"/>
  </cellStyles>
  <dxfs count="72">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ont>
        <color theme="0"/>
      </font>
      <fill>
        <patternFill patternType="none">
          <bgColor auto="1"/>
        </patternFill>
      </fill>
      <border>
        <left/>
        <right/>
        <top style="thin">
          <color auto="1"/>
        </top>
        <bottom/>
      </border>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ill>
        <patternFill>
          <bgColor theme="3" tint="0.499984740745262"/>
        </patternFill>
      </fill>
    </dxf>
    <dxf>
      <fill>
        <patternFill>
          <bgColor theme="3" tint="0.89996032593768116"/>
        </patternFill>
      </fill>
    </dxf>
    <dxf>
      <font>
        <color theme="2"/>
      </font>
      <fill>
        <patternFill>
          <bgColor theme="2"/>
        </patternFill>
      </fill>
    </dxf>
    <dxf>
      <fill>
        <patternFill>
          <bgColor theme="3" tint="0.89996032593768116"/>
        </patternFill>
      </fill>
    </dxf>
    <dxf>
      <font>
        <color theme="2"/>
      </font>
      <fill>
        <patternFill>
          <bgColor theme="2"/>
        </patternFill>
      </fill>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numFmt numFmtId="2" formatCode="0.00"/>
      <protection locked="1" hidden="0"/>
    </dxf>
    <dxf>
      <font>
        <b val="0"/>
        <i val="0"/>
        <strike val="0"/>
        <condense val="0"/>
        <extend val="0"/>
        <outline val="0"/>
        <shadow val="0"/>
        <u val="none"/>
        <vertAlign val="baseline"/>
        <sz val="11"/>
        <color theme="1"/>
        <name val="AU Passata"/>
        <family val="2"/>
        <scheme val="none"/>
      </font>
      <protection locked="1" hidden="0"/>
    </dxf>
    <dxf>
      <font>
        <b val="0"/>
        <i val="0"/>
        <strike val="0"/>
        <condense val="0"/>
        <extend val="0"/>
        <outline val="0"/>
        <shadow val="0"/>
        <u val="none"/>
        <vertAlign val="baseline"/>
        <sz val="11"/>
        <color theme="1"/>
        <name val="AU Passata"/>
        <family val="2"/>
        <scheme val="none"/>
      </font>
      <protection locked="1" hidden="0"/>
    </dxf>
    <dxf>
      <font>
        <b val="0"/>
        <i val="0"/>
        <strike val="0"/>
        <condense val="0"/>
        <extend val="0"/>
        <outline val="0"/>
        <shadow val="0"/>
        <u val="none"/>
        <vertAlign val="baseline"/>
        <sz val="11"/>
        <color theme="1"/>
        <name val="AU Passata"/>
        <family val="2"/>
        <scheme val="none"/>
      </font>
      <protection locked="1" hidden="0"/>
    </dxf>
    <dxf>
      <font>
        <b val="0"/>
        <i val="0"/>
        <strike val="0"/>
        <condense val="0"/>
        <extend val="0"/>
        <outline val="0"/>
        <shadow val="0"/>
        <u val="none"/>
        <vertAlign val="baseline"/>
        <sz val="11"/>
        <color theme="1"/>
        <name val="AU Passata"/>
        <family val="2"/>
        <scheme val="none"/>
      </font>
      <protection locked="1" hidden="0"/>
    </dxf>
    <dxf>
      <font>
        <b val="0"/>
        <i val="0"/>
        <strike val="0"/>
        <condense val="0"/>
        <extend val="0"/>
        <outline val="0"/>
        <shadow val="0"/>
        <u val="none"/>
        <vertAlign val="baseline"/>
        <sz val="11"/>
        <color theme="1"/>
        <name val="AU Passata"/>
        <family val="2"/>
        <scheme val="none"/>
      </font>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246289</xdr:colOff>
      <xdr:row>0</xdr:row>
      <xdr:rowOff>186319</xdr:rowOff>
    </xdr:from>
    <xdr:to>
      <xdr:col>32</xdr:col>
      <xdr:colOff>299357</xdr:colOff>
      <xdr:row>43</xdr:row>
      <xdr:rowOff>40821</xdr:rowOff>
    </xdr:to>
    <xdr:sp macro="" textlink="">
      <xdr:nvSpPr>
        <xdr:cNvPr id="2" name="Tekstfelt 1">
          <a:extLst>
            <a:ext uri="{FF2B5EF4-FFF2-40B4-BE49-F238E27FC236}">
              <a16:creationId xmlns:a16="http://schemas.microsoft.com/office/drawing/2014/main" id="{F92E92CE-5A72-4AF4-8849-96BB63FC2595}"/>
            </a:ext>
          </a:extLst>
        </xdr:cNvPr>
        <xdr:cNvSpPr txBox="1"/>
      </xdr:nvSpPr>
      <xdr:spPr>
        <a:xfrm>
          <a:off x="8369753" y="186319"/>
          <a:ext cx="7006318" cy="8685538"/>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2000" b="1" u="sng">
              <a:latin typeface="AU Passata" panose="020B0503030502030804" pitchFamily="34" charset="0"/>
            </a:rPr>
            <a:t>Quick guide for the working time registration form:</a:t>
          </a:r>
        </a:p>
        <a:p>
          <a:pPr algn="ctr"/>
          <a:endParaRPr lang="da-DK" sz="2000" b="1" u="sng">
            <a:latin typeface="AU Passata" panose="020B05030305020308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1" i="0" u="sng" strike="noStrike" kern="0" cap="none" spc="0" normalizeH="0" baseline="0" noProof="0">
              <a:ln>
                <a:noFill/>
              </a:ln>
              <a:solidFill>
                <a:prstClr val="black"/>
              </a:solidFill>
              <a:effectLst/>
              <a:uLnTx/>
              <a:uFillTx/>
              <a:latin typeface="AU Passata" panose="020B0503030502030804" pitchFamily="34" charset="0"/>
              <a:ea typeface="+mn-ea"/>
              <a:cs typeface="+mn-cs"/>
            </a:rPr>
            <a:t>The Masterdata tab:</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1" i="0" u="sng"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This is the master data tab. You can edit the yellow fields under ‘master data’.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This tab gives you:</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 An accurate overview of your total deviation from the standard working hours for the current year to date.</a:t>
          </a: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 A summary of working time for each month.</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If your standard working hours are not 37 hrs/wk, insert the correct working time on the tab for each month.</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If you have hours that are carried over from previous years, add them to this tab. Use format TT:MM, eg. for deficit of 5 hours and 12 minutes write -05:12.</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You can only edit the yellow fields under ‘master data’ (the other fields are locked, so the underlying formulas can’t be overwritten).</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da-DK">
              <a:latin typeface="AU Passata" panose="020B0503030502030804" pitchFamily="34" charset="0"/>
            </a:rPr>
            <a:t>The actual hours calculator can be used to calculate the total hours in cases where work is performed in several split intervals on the same day, e.g., working in the morning and evening.</a:t>
          </a: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1" i="0" u="sng" strike="noStrike" kern="0" cap="none" spc="0" normalizeH="0" baseline="0" noProof="0">
              <a:ln>
                <a:noFill/>
              </a:ln>
              <a:solidFill>
                <a:prstClr val="black"/>
              </a:solidFill>
              <a:effectLst/>
              <a:uLnTx/>
              <a:uFillTx/>
              <a:latin typeface="AU Passata" panose="020B0503030502030804" pitchFamily="34" charset="0"/>
              <a:ea typeface="+mn-ea"/>
              <a:cs typeface="+mn-cs"/>
            </a:rPr>
            <a:t>Guide to the month tabs:</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1" i="0" u="sng"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The tabs have been filled out in advance with a standard weekly working time of 37 hrs/wk and a standard daily working time of 7 hrs and 24 min.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The code ‘N’ identifies a standard day with no deviations. If you need to specify your working time for a particular day, change to code from ‘N’ to ‘R’ in the ‘code’ field. Otherwise, you can’t edit the fields.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Once you select ‘R’, you can either enter both arrival and departure times (start -end) or enter your total working time for the day in the column ‘actual hours worked’. If both formats are used at the same time then only "actual hours worked" will have effect.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All times must be expressed in hours and minutes: for example, 9:30 for 9 hours and 30 minutes. Remember to separate the hours and minutes with a colon.</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1" i="0" u="none" strike="noStrike" kern="0" cap="none" spc="0" normalizeH="0" baseline="0" noProof="0">
              <a:ln>
                <a:noFill/>
              </a:ln>
              <a:solidFill>
                <a:prstClr val="black"/>
              </a:solidFill>
              <a:effectLst/>
              <a:uLnTx/>
              <a:uFillTx/>
              <a:latin typeface="AU Passata" panose="020B0503030502030804" pitchFamily="34" charset="0"/>
              <a:ea typeface="+mn-ea"/>
              <a:cs typeface="+mn-cs"/>
            </a:rPr>
            <a:t>Please note</a:t>
          </a: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 Don’t register illness, vacation, leave or other forms of paid absence on the working time registration form. Register these forms of absence in mitHR.</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sng"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1" i="0" u="sng" strike="noStrike" kern="0" cap="none" spc="0" normalizeH="0" baseline="0" noProof="0">
              <a:ln>
                <a:noFill/>
              </a:ln>
              <a:solidFill>
                <a:prstClr val="black"/>
              </a:solidFill>
              <a:effectLst/>
              <a:uLnTx/>
              <a:uFillTx/>
              <a:latin typeface="AU Passata" panose="020B0503030502030804" pitchFamily="34" charset="0"/>
              <a:ea typeface="+mn-ea"/>
              <a:cs typeface="+mn-cs"/>
            </a:rPr>
            <a:t>Where and how to save the form</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1"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Save the working time registration form on your local SharePoint site.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AU Passata" panose="020B0503030502030804" pitchFamily="34" charset="0"/>
              <a:ea typeface="+mn-ea"/>
              <a:cs typeface="+mn-cs"/>
            </a:rPr>
            <a:t>Restrict access to the form so that only you and your manager can see your data. Read more at medarbejdere.au.dk/registration-of-working-time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da-DK" sz="1100" b="1" i="0" u="none" strike="noStrike" kern="0" cap="none" spc="0" normalizeH="0" baseline="0" noProof="0">
            <a:ln>
              <a:noFill/>
            </a:ln>
            <a:solidFill>
              <a:prstClr val="black"/>
            </a:solidFill>
            <a:effectLst/>
            <a:uLnTx/>
            <a:uFillTx/>
            <a:latin typeface="AU Passata" panose="020B0503030502030804" pitchFamily="34" charset="0"/>
            <a:ea typeface="+mn-ea"/>
            <a:cs typeface="+mn-cs"/>
          </a:endParaRPr>
        </a:p>
        <a:p>
          <a:r>
            <a:rPr lang="da-DK">
              <a:latin typeface="AU Passata" panose="020B0503030502030804" pitchFamily="34" charset="0"/>
            </a:rPr>
            <a:t>Upon termination of</a:t>
          </a:r>
          <a:r>
            <a:rPr lang="da-DK" baseline="0">
              <a:latin typeface="AU Passata" panose="020B0503030502030804" pitchFamily="34" charset="0"/>
            </a:rPr>
            <a:t> employement</a:t>
          </a:r>
          <a:r>
            <a:rPr lang="da-DK">
              <a:latin typeface="AU Passata" panose="020B0503030502030804" pitchFamily="34" charset="0"/>
            </a:rPr>
            <a:t>, the manager must also retain the former employee's working time records for 5 years. The manager marks the date of termination in the folder name when the employment ends.</a:t>
          </a:r>
          <a:endParaRPr lang="da-DK" sz="1100" b="1" u="none" baseline="0">
            <a:latin typeface="AU Passata" panose="020B0503030502030804" pitchFamily="34" charset="0"/>
          </a:endParaRPr>
        </a:p>
      </xdr:txBody>
    </xdr:sp>
    <xdr:clientData/>
  </xdr:twoCellAnchor>
  <xdr:twoCellAnchor editAs="oneCell">
    <xdr:from>
      <xdr:col>3</xdr:col>
      <xdr:colOff>190499</xdr:colOff>
      <xdr:row>2</xdr:row>
      <xdr:rowOff>54429</xdr:rowOff>
    </xdr:from>
    <xdr:to>
      <xdr:col>5</xdr:col>
      <xdr:colOff>136071</xdr:colOff>
      <xdr:row>4</xdr:row>
      <xdr:rowOff>184340</xdr:rowOff>
    </xdr:to>
    <xdr:pic>
      <xdr:nvPicPr>
        <xdr:cNvPr id="4" name="Billede 1">
          <a:extLst>
            <a:ext uri="{FF2B5EF4-FFF2-40B4-BE49-F238E27FC236}">
              <a16:creationId xmlns:a16="http://schemas.microsoft.com/office/drawing/2014/main" id="{51866BCF-628A-4B9B-A3CA-A51E52BA2018}"/>
            </a:ext>
          </a:extLst>
        </xdr:cNvPr>
        <xdr:cNvPicPr>
          <a:picLocks noChangeAspect="1"/>
        </xdr:cNvPicPr>
      </xdr:nvPicPr>
      <xdr:blipFill>
        <a:blip xmlns:r="http://schemas.openxmlformats.org/officeDocument/2006/relationships" r:embed="rId1"/>
        <a:stretch>
          <a:fillRect/>
        </a:stretch>
      </xdr:blipFill>
      <xdr:spPr>
        <a:xfrm>
          <a:off x="4503963" y="449036"/>
          <a:ext cx="2340429" cy="56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4574E178-672A-40F1-9839-464BD4BA428B}"/>
            </a:ext>
          </a:extLst>
        </xdr:cNvPr>
        <xdr:cNvPicPr>
          <a:picLocks noChangeAspect="1"/>
        </xdr:cNvPicPr>
      </xdr:nvPicPr>
      <xdr:blipFill>
        <a:blip xmlns:r="http://schemas.openxmlformats.org/officeDocument/2006/relationships" r:embed="rId1"/>
        <a:stretch>
          <a:fillRect/>
        </a:stretch>
      </xdr:blipFill>
      <xdr:spPr>
        <a:xfrm>
          <a:off x="2735035" y="122465"/>
          <a:ext cx="2340429" cy="565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D8F48564-6D18-4944-8018-08642D9C024C}"/>
            </a:ext>
          </a:extLst>
        </xdr:cNvPr>
        <xdr:cNvPicPr>
          <a:picLocks noChangeAspect="1"/>
        </xdr:cNvPicPr>
      </xdr:nvPicPr>
      <xdr:blipFill>
        <a:blip xmlns:r="http://schemas.openxmlformats.org/officeDocument/2006/relationships" r:embed="rId1"/>
        <a:stretch>
          <a:fillRect/>
        </a:stretch>
      </xdr:blipFill>
      <xdr:spPr>
        <a:xfrm>
          <a:off x="2747281" y="122465"/>
          <a:ext cx="2330904" cy="576226"/>
        </a:xfrm>
        <a:prstGeom prst="rect">
          <a:avLst/>
        </a:prstGeom>
      </xdr:spPr>
    </xdr:pic>
    <xdr:clientData/>
  </xdr:twoCellAnchor>
  <xdr:twoCellAnchor editAs="oneCell">
    <xdr:from>
      <xdr:col>5</xdr:col>
      <xdr:colOff>13606</xdr:colOff>
      <xdr:row>0</xdr:row>
      <xdr:rowOff>122465</xdr:rowOff>
    </xdr:from>
    <xdr:to>
      <xdr:col>6</xdr:col>
      <xdr:colOff>1445079</xdr:colOff>
      <xdr:row>2</xdr:row>
      <xdr:rowOff>279591</xdr:rowOff>
    </xdr:to>
    <xdr:pic>
      <xdr:nvPicPr>
        <xdr:cNvPr id="3" name="Billede 2">
          <a:extLst>
            <a:ext uri="{FF2B5EF4-FFF2-40B4-BE49-F238E27FC236}">
              <a16:creationId xmlns:a16="http://schemas.microsoft.com/office/drawing/2014/main" id="{02711E86-8E1B-4762-947F-234A47BA3F9F}"/>
            </a:ext>
          </a:extLst>
        </xdr:cNvPr>
        <xdr:cNvPicPr>
          <a:picLocks noChangeAspect="1"/>
        </xdr:cNvPicPr>
      </xdr:nvPicPr>
      <xdr:blipFill>
        <a:blip xmlns:r="http://schemas.openxmlformats.org/officeDocument/2006/relationships" r:embed="rId1"/>
        <a:stretch>
          <a:fillRect/>
        </a:stretch>
      </xdr:blipFill>
      <xdr:spPr>
        <a:xfrm>
          <a:off x="3518806" y="122465"/>
          <a:ext cx="2333626" cy="576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E2504984-FFF7-4BAA-A5BD-D71380A08707}"/>
            </a:ext>
          </a:extLst>
        </xdr:cNvPr>
        <xdr:cNvPicPr>
          <a:picLocks noChangeAspect="1"/>
        </xdr:cNvPicPr>
      </xdr:nvPicPr>
      <xdr:blipFill>
        <a:blip xmlns:r="http://schemas.openxmlformats.org/officeDocument/2006/relationships" r:embed="rId1"/>
        <a:stretch>
          <a:fillRect/>
        </a:stretch>
      </xdr:blipFill>
      <xdr:spPr>
        <a:xfrm>
          <a:off x="3918856" y="122465"/>
          <a:ext cx="2333626" cy="5762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4D689CD5-9B15-4307-A879-980F27F72447}"/>
            </a:ext>
          </a:extLst>
        </xdr:cNvPr>
        <xdr:cNvPicPr>
          <a:picLocks noChangeAspect="1"/>
        </xdr:cNvPicPr>
      </xdr:nvPicPr>
      <xdr:blipFill>
        <a:blip xmlns:r="http://schemas.openxmlformats.org/officeDocument/2006/relationships" r:embed="rId1"/>
        <a:stretch>
          <a:fillRect/>
        </a:stretch>
      </xdr:blipFill>
      <xdr:spPr>
        <a:xfrm>
          <a:off x="3918856" y="122465"/>
          <a:ext cx="2333626" cy="5762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54B0466F-031C-4250-BEC7-E2FDC50F7B02}"/>
            </a:ext>
          </a:extLst>
        </xdr:cNvPr>
        <xdr:cNvPicPr>
          <a:picLocks noChangeAspect="1"/>
        </xdr:cNvPicPr>
      </xdr:nvPicPr>
      <xdr:blipFill>
        <a:blip xmlns:r="http://schemas.openxmlformats.org/officeDocument/2006/relationships" r:embed="rId1"/>
        <a:stretch>
          <a:fillRect/>
        </a:stretch>
      </xdr:blipFill>
      <xdr:spPr>
        <a:xfrm>
          <a:off x="3918856" y="122465"/>
          <a:ext cx="2333626" cy="5762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6512038A-38C0-4F4B-8F1E-AFC77D551C0B}"/>
            </a:ext>
          </a:extLst>
        </xdr:cNvPr>
        <xdr:cNvPicPr>
          <a:picLocks noChangeAspect="1"/>
        </xdr:cNvPicPr>
      </xdr:nvPicPr>
      <xdr:blipFill>
        <a:blip xmlns:r="http://schemas.openxmlformats.org/officeDocument/2006/relationships" r:embed="rId1"/>
        <a:stretch>
          <a:fillRect/>
        </a:stretch>
      </xdr:blipFill>
      <xdr:spPr>
        <a:xfrm>
          <a:off x="3918856" y="122465"/>
          <a:ext cx="2333626" cy="5762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0B4A909D-A65D-41A4-A67D-E2B5C231987D}"/>
            </a:ext>
          </a:extLst>
        </xdr:cNvPr>
        <xdr:cNvPicPr>
          <a:picLocks noChangeAspect="1"/>
        </xdr:cNvPicPr>
      </xdr:nvPicPr>
      <xdr:blipFill>
        <a:blip xmlns:r="http://schemas.openxmlformats.org/officeDocument/2006/relationships" r:embed="rId1"/>
        <a:stretch>
          <a:fillRect/>
        </a:stretch>
      </xdr:blipFill>
      <xdr:spPr>
        <a:xfrm>
          <a:off x="3918856" y="122465"/>
          <a:ext cx="2333626" cy="5762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A7CA1E9B-E21E-4BB9-AB56-1A24FF660D5D}"/>
            </a:ext>
          </a:extLst>
        </xdr:cNvPr>
        <xdr:cNvPicPr>
          <a:picLocks noChangeAspect="1"/>
        </xdr:cNvPicPr>
      </xdr:nvPicPr>
      <xdr:blipFill>
        <a:blip xmlns:r="http://schemas.openxmlformats.org/officeDocument/2006/relationships" r:embed="rId1"/>
        <a:stretch>
          <a:fillRect/>
        </a:stretch>
      </xdr:blipFill>
      <xdr:spPr>
        <a:xfrm>
          <a:off x="3918856" y="122465"/>
          <a:ext cx="2333626" cy="5762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F21BD1D0-4F35-4145-9B07-793CE76C6CFA}"/>
            </a:ext>
          </a:extLst>
        </xdr:cNvPr>
        <xdr:cNvPicPr>
          <a:picLocks noChangeAspect="1"/>
        </xdr:cNvPicPr>
      </xdr:nvPicPr>
      <xdr:blipFill>
        <a:blip xmlns:r="http://schemas.openxmlformats.org/officeDocument/2006/relationships" r:embed="rId1"/>
        <a:stretch>
          <a:fillRect/>
        </a:stretch>
      </xdr:blipFill>
      <xdr:spPr>
        <a:xfrm>
          <a:off x="3918856" y="122465"/>
          <a:ext cx="2333626" cy="5762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5DB028AD-4CA0-4F95-9EBA-4C58FBE5180B}"/>
            </a:ext>
          </a:extLst>
        </xdr:cNvPr>
        <xdr:cNvPicPr>
          <a:picLocks noChangeAspect="1"/>
        </xdr:cNvPicPr>
      </xdr:nvPicPr>
      <xdr:blipFill>
        <a:blip xmlns:r="http://schemas.openxmlformats.org/officeDocument/2006/relationships" r:embed="rId1"/>
        <a:stretch>
          <a:fillRect/>
        </a:stretch>
      </xdr:blipFill>
      <xdr:spPr>
        <a:xfrm>
          <a:off x="3918856" y="122465"/>
          <a:ext cx="2333626" cy="5762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EA11DBA8-1BF4-4CB7-B391-61AA7B30F926}"/>
            </a:ext>
          </a:extLst>
        </xdr:cNvPr>
        <xdr:cNvPicPr>
          <a:picLocks noChangeAspect="1"/>
        </xdr:cNvPicPr>
      </xdr:nvPicPr>
      <xdr:blipFill>
        <a:blip xmlns:r="http://schemas.openxmlformats.org/officeDocument/2006/relationships" r:embed="rId1"/>
        <a:stretch>
          <a:fillRect/>
        </a:stretch>
      </xdr:blipFill>
      <xdr:spPr>
        <a:xfrm>
          <a:off x="3918856" y="122465"/>
          <a:ext cx="2333626" cy="5762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13606</xdr:colOff>
      <xdr:row>0</xdr:row>
      <xdr:rowOff>122465</xdr:rowOff>
    </xdr:from>
    <xdr:to>
      <xdr:col>6</xdr:col>
      <xdr:colOff>1442357</xdr:colOff>
      <xdr:row>2</xdr:row>
      <xdr:rowOff>279591</xdr:rowOff>
    </xdr:to>
    <xdr:pic>
      <xdr:nvPicPr>
        <xdr:cNvPr id="2" name="Billede 1">
          <a:extLst>
            <a:ext uri="{FF2B5EF4-FFF2-40B4-BE49-F238E27FC236}">
              <a16:creationId xmlns:a16="http://schemas.microsoft.com/office/drawing/2014/main" id="{783651B7-3418-49D1-98EF-8BF7EAFDAB5A}"/>
            </a:ext>
          </a:extLst>
        </xdr:cNvPr>
        <xdr:cNvPicPr>
          <a:picLocks noChangeAspect="1"/>
        </xdr:cNvPicPr>
      </xdr:nvPicPr>
      <xdr:blipFill>
        <a:blip xmlns:r="http://schemas.openxmlformats.org/officeDocument/2006/relationships" r:embed="rId1"/>
        <a:stretch>
          <a:fillRect/>
        </a:stretch>
      </xdr:blipFill>
      <xdr:spPr>
        <a:xfrm>
          <a:off x="3918856" y="122465"/>
          <a:ext cx="2333626" cy="5762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6350E5-8A1F-4283-A8DB-4C416817F233}" name="Tabel_Oversigt" displayName="Tabel_Oversigt" ref="J9:Z10" totalsRowShown="0" headerRowDxfId="71" dataDxfId="70">
  <autoFilter ref="J9:Z10" xr:uid="{986350E5-8A1F-4283-A8DB-4C416817F233}"/>
  <tableColumns count="17">
    <tableColumn id="1" xr3:uid="{E9E7A195-1B4A-483B-95F5-7D4CBA01E8B3}" name="Navn" dataDxfId="69">
      <calculatedColumnFormula>$B$6</calculatedColumnFormula>
    </tableColumn>
    <tableColumn id="2" xr3:uid="{19B6E750-B8ED-4762-85CE-2B1F6566EABD}" name="År" dataDxfId="68">
      <calculatedColumnFormula>$B$5</calculatedColumnFormula>
    </tableColumn>
    <tableColumn id="3" xr3:uid="{6B55AE61-03F7-4F16-AB1B-2C5E7CC6032A}" name="AU-ID" dataDxfId="67">
      <calculatedColumnFormula>$B$7</calculatedColumnFormula>
    </tableColumn>
    <tableColumn id="17" xr3:uid="{D7B9C85E-92E4-41ED-AABB-8D121FF11E1E}" name="Overført fra tidligere perioder" dataDxfId="66">
      <calculatedColumnFormula>$B$8</calculatedColumnFormula>
    </tableColumn>
    <tableColumn id="4" xr3:uid="{34A41D08-6196-497D-B2F4-991F225F9BF4}" name="Forskel" dataDxfId="65">
      <calculatedColumnFormula>#REF!</calculatedColumnFormula>
    </tableColumn>
    <tableColumn id="5" xr3:uid="{DC891771-1E7B-460F-A02F-A7ACE38EA3F3}" name="Januar" dataDxfId="64">
      <calculatedColumnFormula>#REF!</calculatedColumnFormula>
    </tableColumn>
    <tableColumn id="6" xr3:uid="{B8666C2B-D5C2-49F1-8008-9C9CEA5E99A8}" name="Februar" dataDxfId="63">
      <calculatedColumnFormula>#REF!</calculatedColumnFormula>
    </tableColumn>
    <tableColumn id="7" xr3:uid="{9F0A143D-AB89-43EC-80C4-6FE82EB215AD}" name="Marts" dataDxfId="62">
      <calculatedColumnFormula>#REF!</calculatedColumnFormula>
    </tableColumn>
    <tableColumn id="8" xr3:uid="{BDBF02A8-7BDA-49EA-BD8D-DE6F49ED89EE}" name="April" dataDxfId="61">
      <calculatedColumnFormula>#REF!</calculatedColumnFormula>
    </tableColumn>
    <tableColumn id="9" xr3:uid="{9AD077EC-2164-4485-AD55-34087566DF61}" name="Maj" dataDxfId="60">
      <calculatedColumnFormula>#REF!</calculatedColumnFormula>
    </tableColumn>
    <tableColumn id="10" xr3:uid="{60624C36-9EEF-4AF2-9F9B-23D44263EBA3}" name="Juni" dataDxfId="59">
      <calculatedColumnFormula>#REF!</calculatedColumnFormula>
    </tableColumn>
    <tableColumn id="11" xr3:uid="{3A8A1158-A357-4C9A-A7FF-2E54FE1A49D2}" name="Juli" dataDxfId="58">
      <calculatedColumnFormula>$C$21</calculatedColumnFormula>
    </tableColumn>
    <tableColumn id="12" xr3:uid="{F356F568-65B0-4725-9848-9F88C9CBA02A}" name="August" dataDxfId="57">
      <calculatedColumnFormula>$C$22</calculatedColumnFormula>
    </tableColumn>
    <tableColumn id="13" xr3:uid="{B0E1B697-CA2E-4540-B9EA-B1D9CAB07910}" name="September" dataDxfId="56">
      <calculatedColumnFormula>$C$23</calculatedColumnFormula>
    </tableColumn>
    <tableColumn id="14" xr3:uid="{DD03CAB0-78D8-44D3-8ACD-FA4EAB61E38E}" name="Oktober" dataDxfId="55">
      <calculatedColumnFormula>$C$24</calculatedColumnFormula>
    </tableColumn>
    <tableColumn id="15" xr3:uid="{6828FFDC-9233-41EB-B5AC-78DE7F8C4BBC}" name="November" dataDxfId="54">
      <calculatedColumnFormula>$C$25</calculatedColumnFormula>
    </tableColumn>
    <tableColumn id="16" xr3:uid="{A5A63A89-0D8F-4F0E-AE7B-128AE7A53264}" name="December" dataDxfId="53">
      <calculatedColumnFormula>$C$26</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C3E6-5093-4900-9CFE-1EC710506BA4}">
  <sheetPr codeName="Ark1"/>
  <dimension ref="A1:AZ62"/>
  <sheetViews>
    <sheetView tabSelected="1" zoomScale="70" zoomScaleNormal="70" workbookViewId="0"/>
  </sheetViews>
  <sheetFormatPr defaultRowHeight="15" outlineLevelCol="1" x14ac:dyDescent="0.25"/>
  <cols>
    <col min="1" max="1" width="71" customWidth="1"/>
    <col min="2" max="2" width="15.7109375" customWidth="1"/>
    <col min="3" max="3" width="18.85546875" hidden="1" customWidth="1" outlineLevel="1"/>
    <col min="4" max="4" width="17.85546875" customWidth="1" collapsed="1"/>
    <col min="5" max="5" width="17.85546875" customWidth="1"/>
    <col min="6" max="6" width="18.28515625" bestFit="1" customWidth="1"/>
    <col min="7" max="7" width="12.42578125" bestFit="1" customWidth="1"/>
    <col min="10" max="10" width="9.140625" hidden="1" customWidth="1" outlineLevel="1"/>
    <col min="11" max="18" width="14" hidden="1" customWidth="1" outlineLevel="1"/>
    <col min="19" max="21" width="9.140625" hidden="1" customWidth="1" outlineLevel="1"/>
    <col min="22" max="22" width="9.5703125" hidden="1" customWidth="1" outlineLevel="1"/>
    <col min="23" max="23" width="13.7109375" hidden="1" customWidth="1" outlineLevel="1"/>
    <col min="24" max="24" width="10.85546875" hidden="1" customWidth="1" outlineLevel="1"/>
    <col min="25" max="25" width="13.140625" hidden="1" customWidth="1" outlineLevel="1"/>
    <col min="26" max="26" width="13" hidden="1" customWidth="1" outlineLevel="1"/>
    <col min="27" max="27" width="9.140625" collapsed="1"/>
    <col min="34" max="34" width="12.85546875" hidden="1" customWidth="1" outlineLevel="1"/>
    <col min="35" max="37" width="9.140625" hidden="1" customWidth="1" outlineLevel="1"/>
    <col min="38" max="38" width="14.28515625" hidden="1" customWidth="1" outlineLevel="1"/>
    <col min="39" max="39" width="14.28515625" hidden="1" customWidth="1" collapsed="1"/>
    <col min="40" max="41" width="9.140625" hidden="1" customWidth="1"/>
    <col min="42" max="42" width="9.140625" customWidth="1"/>
    <col min="43" max="43" width="16.7109375" customWidth="1"/>
    <col min="45" max="45" width="9.42578125" customWidth="1"/>
    <col min="46" max="46" width="22" customWidth="1"/>
    <col min="49" max="49" width="14.28515625" customWidth="1"/>
    <col min="50" max="50" width="13.28515625" customWidth="1"/>
    <col min="51" max="51" width="13.5703125" bestFit="1" customWidth="1"/>
  </cols>
  <sheetData>
    <row r="1" spans="1:52" ht="15.75" x14ac:dyDescent="0.2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row>
    <row r="2" spans="1:52" ht="16.5" thickBot="1" x14ac:dyDescent="0.3">
      <c r="A2" s="34"/>
      <c r="B2" s="34" t="s">
        <v>84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row>
    <row r="3" spans="1:52" ht="17.25" thickBot="1" x14ac:dyDescent="0.35">
      <c r="A3" s="87" t="s">
        <v>85</v>
      </c>
      <c r="B3" s="50">
        <v>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99" t="s">
        <v>123</v>
      </c>
      <c r="AR3" s="99"/>
      <c r="AS3" s="99"/>
      <c r="AT3" s="99"/>
      <c r="AU3" s="30"/>
      <c r="AV3" s="30"/>
      <c r="AW3" s="30"/>
      <c r="AX3" s="30"/>
    </row>
    <row r="4" spans="1:52" ht="17.25" customHeight="1" thickBot="1" x14ac:dyDescent="0.35">
      <c r="A4" s="87" t="s">
        <v>133</v>
      </c>
      <c r="B4" s="49">
        <v>0</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95"/>
      <c r="AR4" s="95" t="s">
        <v>23</v>
      </c>
      <c r="AS4" s="95" t="s">
        <v>107</v>
      </c>
      <c r="AT4" s="95" t="s">
        <v>124</v>
      </c>
      <c r="AU4" s="30"/>
      <c r="AV4" s="30"/>
      <c r="AW4" s="30"/>
      <c r="AX4" s="30"/>
    </row>
    <row r="5" spans="1:52" ht="15" customHeight="1" x14ac:dyDescent="0.3">
      <c r="A5" s="29" t="s">
        <v>110</v>
      </c>
      <c r="B5" s="97">
        <v>2025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83" t="s">
        <v>80</v>
      </c>
      <c r="AR5" s="96">
        <v>0</v>
      </c>
      <c r="AS5" s="96">
        <v>0</v>
      </c>
      <c r="AT5" s="81" t="str">
        <f>IF(
$AS5-$AR5&gt;=0,
TEXT($AS5-$AR5,"[tt]:mm"),
"-"&amp;TEXT(ABS($AS5-$AR5),"[tt]:mm"))</f>
        <v>00:00</v>
      </c>
      <c r="AU5" s="23"/>
      <c r="AV5" s="23"/>
      <c r="AW5" s="23"/>
      <c r="AX5" s="30"/>
    </row>
    <row r="6" spans="1:52" ht="16.5" x14ac:dyDescent="0.3">
      <c r="A6" s="29" t="s">
        <v>86</v>
      </c>
      <c r="B6" s="28"/>
      <c r="C6" s="33"/>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83" t="s">
        <v>81</v>
      </c>
      <c r="AR6" s="96">
        <v>0</v>
      </c>
      <c r="AS6" s="96">
        <v>0</v>
      </c>
      <c r="AT6" s="81" t="str">
        <f>IF(
$AS6-$AR6&gt;=0,
TEXT($AS6-$AR6,"[tt]:mm"),
"-"&amp;TEXT(ABS($AS6-$AR6),"[tt]:mm"))</f>
        <v>00:00</v>
      </c>
      <c r="AU6" s="25"/>
      <c r="AV6" s="56"/>
      <c r="AW6" s="57"/>
      <c r="AX6" s="31"/>
    </row>
    <row r="7" spans="1:52" ht="16.5" x14ac:dyDescent="0.3">
      <c r="A7" s="29" t="s">
        <v>87</v>
      </c>
      <c r="B7" s="28"/>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98" t="s">
        <v>42</v>
      </c>
      <c r="AI7" s="98"/>
      <c r="AJ7" s="98"/>
      <c r="AK7" s="98"/>
      <c r="AL7" s="98"/>
      <c r="AM7" s="98"/>
      <c r="AN7" s="30"/>
      <c r="AO7" s="30"/>
      <c r="AP7" s="30"/>
      <c r="AQ7" s="84" t="s">
        <v>82</v>
      </c>
      <c r="AR7" s="96">
        <v>0</v>
      </c>
      <c r="AS7" s="96">
        <v>0</v>
      </c>
      <c r="AT7" s="81" t="str">
        <f>IF(
$AS7-$AR7&gt;=0,
TEXT($AS7-$AR7,"[tt]:mm"),
"-"&amp;TEXT(ABS($AS7-$AR7),"[tt]:mm"))</f>
        <v>00:00</v>
      </c>
      <c r="AU7" s="25"/>
      <c r="AV7" s="56"/>
      <c r="AW7" s="57"/>
      <c r="AX7" s="31"/>
    </row>
    <row r="8" spans="1:52" ht="19.5" customHeight="1" x14ac:dyDescent="0.3">
      <c r="A8" s="29" t="s">
        <v>88</v>
      </c>
      <c r="B8" s="55" t="s">
        <v>79</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t="str">
        <f>IF(B8="","00:00",B8)</f>
        <v>00:00</v>
      </c>
      <c r="AI8" s="80" t="str">
        <f>LEFT(AH8,1)</f>
        <v>0</v>
      </c>
      <c r="AJ8" s="25" t="str">
        <f>IF($AI8="-",LEFT(AH8,3),LEFT(AH8,2))</f>
        <v>00</v>
      </c>
      <c r="AK8" s="56" t="str">
        <f>IF($AI8="-",MID(AH8,5,2),MID(AH8,4,2))</f>
        <v>00</v>
      </c>
      <c r="AL8" s="57">
        <f>AK8/60</f>
        <v>0</v>
      </c>
      <c r="AM8" s="31">
        <f>IF(AI8="-",AJ8-AL8,AJ8+AL8)</f>
        <v>0</v>
      </c>
      <c r="AN8" s="30"/>
      <c r="AO8" s="30"/>
      <c r="AP8" s="30"/>
      <c r="AQ8" s="82"/>
      <c r="AR8" s="82"/>
      <c r="AS8" s="86" t="s">
        <v>83</v>
      </c>
      <c r="AT8" s="85">
        <f>AT5+AT6+AT7</f>
        <v>0</v>
      </c>
      <c r="AU8" s="25"/>
      <c r="AV8" s="56"/>
      <c r="AW8" s="57"/>
      <c r="AX8" s="31"/>
    </row>
    <row r="9" spans="1:52" ht="15.75" x14ac:dyDescent="0.25">
      <c r="A9" s="30"/>
      <c r="B9" s="30"/>
      <c r="C9" s="30"/>
      <c r="D9" s="31"/>
      <c r="E9" s="30"/>
      <c r="F9" s="30"/>
      <c r="G9" s="30"/>
      <c r="H9" s="30"/>
      <c r="I9" s="30"/>
      <c r="J9" s="30" t="s">
        <v>1</v>
      </c>
      <c r="K9" s="30" t="s">
        <v>0</v>
      </c>
      <c r="L9" s="30" t="s">
        <v>2</v>
      </c>
      <c r="M9" s="30" t="s">
        <v>3</v>
      </c>
      <c r="N9" s="30" t="s">
        <v>4</v>
      </c>
      <c r="O9" s="30" t="s">
        <v>5</v>
      </c>
      <c r="P9" s="30" t="s">
        <v>6</v>
      </c>
      <c r="Q9" s="30" t="s">
        <v>7</v>
      </c>
      <c r="R9" s="30" t="s">
        <v>8</v>
      </c>
      <c r="S9" s="30" t="s">
        <v>9</v>
      </c>
      <c r="T9" s="30" t="s">
        <v>10</v>
      </c>
      <c r="U9" s="30" t="s">
        <v>11</v>
      </c>
      <c r="V9" s="30" t="s">
        <v>12</v>
      </c>
      <c r="W9" s="30" t="s">
        <v>13</v>
      </c>
      <c r="X9" s="30" t="s">
        <v>14</v>
      </c>
      <c r="Y9" s="30" t="s">
        <v>15</v>
      </c>
      <c r="Z9" s="30" t="s">
        <v>16</v>
      </c>
      <c r="AA9" s="30"/>
      <c r="AB9" s="30"/>
      <c r="AC9" s="30"/>
      <c r="AD9" s="30"/>
      <c r="AE9" s="30"/>
      <c r="AF9" s="30"/>
      <c r="AG9" s="30"/>
      <c r="AH9" s="30"/>
      <c r="AI9" s="30"/>
      <c r="AJ9" s="30"/>
      <c r="AK9" s="30"/>
      <c r="AL9" s="30"/>
      <c r="AM9" s="30"/>
      <c r="AN9" s="30"/>
      <c r="AO9" s="30"/>
      <c r="AP9" s="30"/>
      <c r="AQ9" s="30"/>
      <c r="AR9" s="30"/>
      <c r="AS9" s="30"/>
      <c r="AT9" s="30"/>
      <c r="AU9" s="30"/>
      <c r="AV9" s="30"/>
      <c r="AW9" s="30"/>
      <c r="AX9" s="31"/>
      <c r="AZ9" s="2"/>
    </row>
    <row r="10" spans="1:52" ht="15.75" x14ac:dyDescent="0.25">
      <c r="A10" s="30"/>
      <c r="B10" s="58"/>
      <c r="C10" s="30"/>
      <c r="D10" s="30"/>
      <c r="E10" s="30"/>
      <c r="F10" s="30"/>
      <c r="G10" s="30"/>
      <c r="H10" s="30"/>
      <c r="I10" s="30"/>
      <c r="J10" s="30">
        <f t="shared" ref="J10" si="0">$B$6</f>
        <v>0</v>
      </c>
      <c r="K10" s="30">
        <f t="shared" ref="K10" si="1">$B$5</f>
        <v>2025</v>
      </c>
      <c r="L10" s="30">
        <f t="shared" ref="L10" si="2">$B$7</f>
        <v>0</v>
      </c>
      <c r="M10" s="31" t="str">
        <f>$B$8</f>
        <v>00:00</v>
      </c>
      <c r="N10" s="31" t="e">
        <f>#REF!</f>
        <v>#REF!</v>
      </c>
      <c r="O10" s="31" t="e">
        <f>#REF!</f>
        <v>#REF!</v>
      </c>
      <c r="P10" s="31" t="e">
        <f>#REF!</f>
        <v>#REF!</v>
      </c>
      <c r="Q10" s="31" t="e">
        <f>#REF!</f>
        <v>#REF!</v>
      </c>
      <c r="R10" s="31" t="e">
        <f>#REF!</f>
        <v>#REF!</v>
      </c>
      <c r="S10" s="31" t="e">
        <f>#REF!</f>
        <v>#REF!</v>
      </c>
      <c r="T10" s="31" t="e">
        <f>#REF!</f>
        <v>#REF!</v>
      </c>
      <c r="U10" s="31">
        <f>$C$21</f>
        <v>0</v>
      </c>
      <c r="V10" s="31">
        <f>$C$22</f>
        <v>0</v>
      </c>
      <c r="W10" s="31">
        <f>$C$23</f>
        <v>0</v>
      </c>
      <c r="X10" s="31">
        <f>$C$24</f>
        <v>0</v>
      </c>
      <c r="Y10" s="31">
        <f>$C$25</f>
        <v>0</v>
      </c>
      <c r="Z10" s="31">
        <f>$C$26</f>
        <v>0</v>
      </c>
      <c r="AA10" s="30"/>
      <c r="AB10" s="30"/>
      <c r="AC10" s="30"/>
      <c r="AD10" s="30"/>
      <c r="AE10" s="30"/>
      <c r="AF10" s="30"/>
      <c r="AG10" s="30"/>
      <c r="AH10" s="30"/>
      <c r="AI10" s="30"/>
      <c r="AJ10" s="30"/>
      <c r="AK10" s="30"/>
      <c r="AL10" s="30"/>
      <c r="AM10" s="30"/>
      <c r="AN10" s="30"/>
      <c r="AO10" s="30"/>
      <c r="AP10" s="30"/>
      <c r="AQ10" s="30"/>
      <c r="AR10" s="75"/>
      <c r="AS10" s="30"/>
      <c r="AT10" s="30"/>
      <c r="AU10" s="30"/>
      <c r="AV10" s="30"/>
      <c r="AW10" s="30"/>
      <c r="AX10" s="30"/>
    </row>
    <row r="11" spans="1:52" ht="15.75" x14ac:dyDescent="0.25">
      <c r="A11" s="30"/>
      <c r="B11" s="30"/>
      <c r="C11" s="30"/>
      <c r="D11" s="30"/>
      <c r="E11" s="30"/>
      <c r="F11" s="30"/>
      <c r="G11" s="30"/>
      <c r="H11" s="30"/>
      <c r="I11" s="30"/>
      <c r="J11" s="30"/>
      <c r="K11" s="30"/>
      <c r="L11" s="30"/>
      <c r="M11" s="31"/>
      <c r="N11" s="31"/>
      <c r="O11" s="31"/>
      <c r="P11" s="31"/>
      <c r="Q11" s="31"/>
      <c r="R11" s="31"/>
      <c r="S11" s="31"/>
      <c r="T11" s="31"/>
      <c r="U11" s="31"/>
      <c r="V11" s="31"/>
      <c r="W11" s="31"/>
      <c r="X11" s="31"/>
      <c r="Y11" s="31"/>
      <c r="Z11" s="31"/>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row>
    <row r="12" spans="1:52" ht="15.75" x14ac:dyDescent="0.25">
      <c r="A12" s="30"/>
      <c r="B12" s="30"/>
      <c r="C12" s="30"/>
      <c r="D12" s="30"/>
      <c r="E12" s="30"/>
      <c r="F12" s="30"/>
      <c r="G12" s="30"/>
      <c r="H12" s="30"/>
      <c r="I12" s="30"/>
      <c r="J12" s="30"/>
      <c r="K12" s="30"/>
      <c r="L12" s="30"/>
      <c r="M12" s="31"/>
      <c r="N12" s="31"/>
      <c r="O12" s="31"/>
      <c r="P12" s="31"/>
      <c r="Q12" s="31"/>
      <c r="R12" s="31"/>
      <c r="S12" s="31"/>
      <c r="T12" s="31"/>
      <c r="U12" s="31"/>
      <c r="V12" s="31"/>
      <c r="W12" s="31"/>
      <c r="X12" s="31"/>
      <c r="Y12" s="31"/>
      <c r="Z12" s="31"/>
      <c r="AA12" s="30"/>
      <c r="AB12" s="30"/>
      <c r="AC12" s="30"/>
      <c r="AD12" s="30"/>
      <c r="AE12" s="30"/>
      <c r="AF12" s="30"/>
      <c r="AG12" s="30"/>
      <c r="AH12" s="30"/>
      <c r="AI12" s="98" t="s">
        <v>78</v>
      </c>
      <c r="AJ12" s="98"/>
      <c r="AK12" s="98"/>
      <c r="AL12" s="98"/>
      <c r="AM12" s="30"/>
      <c r="AN12" s="30"/>
      <c r="AO12" s="30"/>
      <c r="AP12" s="30"/>
      <c r="AQ12" s="30"/>
      <c r="AR12" s="30"/>
      <c r="AS12" s="30"/>
      <c r="AT12" s="30"/>
      <c r="AU12" s="30"/>
      <c r="AV12" s="30"/>
      <c r="AW12" s="30"/>
      <c r="AX12" s="30"/>
    </row>
    <row r="13" spans="1:52" ht="16.5" x14ac:dyDescent="0.3">
      <c r="A13" s="29" t="s">
        <v>89</v>
      </c>
      <c r="B13" s="29" t="s">
        <v>77</v>
      </c>
      <c r="C13" s="29" t="s">
        <v>40</v>
      </c>
      <c r="D13" s="29" t="s">
        <v>92</v>
      </c>
      <c r="E13" s="30"/>
      <c r="F13" s="30"/>
      <c r="G13" s="30"/>
      <c r="H13" s="30"/>
      <c r="I13" s="30"/>
      <c r="J13" s="30"/>
      <c r="K13" s="30"/>
      <c r="L13" s="30"/>
      <c r="M13" s="31"/>
      <c r="N13" s="31"/>
      <c r="O13" s="31"/>
      <c r="P13" s="31"/>
      <c r="Q13" s="31"/>
      <c r="R13" s="31"/>
      <c r="S13" s="31"/>
      <c r="T13" s="31"/>
      <c r="U13" s="31"/>
      <c r="V13" s="31"/>
      <c r="W13" s="31"/>
      <c r="X13" s="31"/>
      <c r="Y13" s="31"/>
      <c r="Z13" s="31"/>
      <c r="AA13" s="30"/>
      <c r="AB13" s="30"/>
      <c r="AC13" s="30"/>
      <c r="AD13" s="30"/>
      <c r="AE13" s="30"/>
      <c r="AF13" s="30"/>
      <c r="AG13" s="30"/>
      <c r="AH13" s="30"/>
      <c r="AI13" s="77" t="s">
        <v>51</v>
      </c>
      <c r="AJ13" s="77" t="s">
        <v>52</v>
      </c>
      <c r="AK13" s="78">
        <f>B5</f>
        <v>2025</v>
      </c>
      <c r="AL13" s="77"/>
      <c r="AM13" s="77"/>
      <c r="AN13" s="77"/>
      <c r="AO13" s="77"/>
      <c r="AQ13" s="30"/>
      <c r="AR13" s="30"/>
      <c r="AS13" s="30"/>
      <c r="AT13" s="30"/>
      <c r="AU13" s="30"/>
      <c r="AV13" s="30"/>
      <c r="AW13" s="30"/>
      <c r="AX13" s="30"/>
    </row>
    <row r="14" spans="1:52" ht="16.5" x14ac:dyDescent="0.3">
      <c r="A14" s="54" t="s">
        <v>90</v>
      </c>
      <c r="B14" s="59" t="s">
        <v>41</v>
      </c>
      <c r="C14" s="60">
        <f>AM8</f>
        <v>0</v>
      </c>
      <c r="D14" s="61" t="str">
        <f t="shared" ref="D14:D26" si="3">IF(C14&lt;0,"-"&amp;TEXT(ABS(C14/24),"[TT]:mm"),TEXT(C14/24,"[TT]:mm"))</f>
        <v>00:00</v>
      </c>
      <c r="E14" s="62"/>
      <c r="F14" s="30"/>
      <c r="G14" s="30"/>
      <c r="H14" s="30"/>
      <c r="I14" s="30"/>
      <c r="J14" s="30"/>
      <c r="K14" s="30"/>
      <c r="L14" s="30"/>
      <c r="M14" s="31"/>
      <c r="N14" s="31"/>
      <c r="O14" s="31"/>
      <c r="P14" s="31"/>
      <c r="Q14" s="31"/>
      <c r="R14" s="31"/>
      <c r="S14" s="31"/>
      <c r="T14" s="31"/>
      <c r="U14" s="31"/>
      <c r="V14" s="31"/>
      <c r="W14" s="31"/>
      <c r="X14" s="31"/>
      <c r="Y14" s="31"/>
      <c r="Z14" s="31"/>
      <c r="AA14" s="30"/>
      <c r="AB14" s="30"/>
      <c r="AC14" s="30"/>
      <c r="AD14" s="30"/>
      <c r="AE14" s="30"/>
      <c r="AF14" s="30"/>
      <c r="AG14" s="30"/>
      <c r="AH14" s="30"/>
      <c r="AI14" s="77" t="s">
        <v>53</v>
      </c>
      <c r="AJ14" s="77" t="s">
        <v>54</v>
      </c>
      <c r="AK14" s="77">
        <f>MOD(AK13,19)</f>
        <v>11</v>
      </c>
      <c r="AL14" s="77">
        <f>År</f>
        <v>0</v>
      </c>
      <c r="AM14" s="77"/>
      <c r="AN14" s="77"/>
      <c r="AO14" s="77"/>
      <c r="AQ14" s="30"/>
      <c r="AR14" s="30"/>
      <c r="AS14" s="30"/>
      <c r="AT14" s="30"/>
      <c r="AU14" s="30"/>
      <c r="AV14" s="30"/>
      <c r="AW14" s="30"/>
      <c r="AX14" s="30"/>
    </row>
    <row r="15" spans="1:52" ht="16.5" x14ac:dyDescent="0.3">
      <c r="A15" s="54" t="s">
        <v>116</v>
      </c>
      <c r="B15" s="64">
        <f>January!$B$1</f>
        <v>37</v>
      </c>
      <c r="C15" s="65">
        <f>January!$Q$39</f>
        <v>0</v>
      </c>
      <c r="D15" s="61" t="str">
        <f t="shared" si="3"/>
        <v>00:00</v>
      </c>
      <c r="E15" s="62"/>
      <c r="F15" s="30"/>
      <c r="G15" s="30"/>
      <c r="H15" s="30"/>
      <c r="I15" s="30"/>
      <c r="J15" s="30"/>
      <c r="K15" s="30"/>
      <c r="L15" s="30"/>
      <c r="M15" s="31"/>
      <c r="N15" s="31"/>
      <c r="O15" s="31"/>
      <c r="P15" s="31"/>
      <c r="Q15" s="31"/>
      <c r="R15" s="31"/>
      <c r="S15" s="31"/>
      <c r="T15" s="31"/>
      <c r="U15" s="31"/>
      <c r="V15" s="31"/>
      <c r="W15" s="31"/>
      <c r="X15" s="31"/>
      <c r="Y15" s="31"/>
      <c r="Z15" s="31"/>
      <c r="AA15" s="30"/>
      <c r="AB15" s="30"/>
      <c r="AC15" s="30"/>
      <c r="AD15" s="30"/>
      <c r="AE15" s="30"/>
      <c r="AF15" s="30"/>
      <c r="AG15" s="30"/>
      <c r="AH15" s="30"/>
      <c r="AI15" s="77"/>
      <c r="AJ15" s="77"/>
      <c r="AK15" s="77"/>
      <c r="AL15" s="77"/>
      <c r="AM15" s="77"/>
      <c r="AN15" s="77"/>
      <c r="AO15" s="77"/>
      <c r="AQ15" s="30"/>
      <c r="AR15" s="30"/>
      <c r="AS15" s="30"/>
      <c r="AT15" s="30"/>
      <c r="AU15" s="30"/>
      <c r="AV15" s="30"/>
      <c r="AW15" s="30"/>
      <c r="AX15" s="30"/>
    </row>
    <row r="16" spans="1:52" ht="16.5" x14ac:dyDescent="0.3">
      <c r="A16" s="54" t="s">
        <v>122</v>
      </c>
      <c r="B16" s="64">
        <f>February!B1</f>
        <v>37</v>
      </c>
      <c r="C16" s="65">
        <f>February!$Q$37</f>
        <v>0</v>
      </c>
      <c r="D16" s="61" t="str">
        <f t="shared" si="3"/>
        <v>00:00</v>
      </c>
      <c r="E16" s="62"/>
      <c r="F16" s="30"/>
      <c r="G16" s="30"/>
      <c r="H16" s="30"/>
      <c r="I16" s="30"/>
      <c r="J16" s="30"/>
      <c r="K16" s="30"/>
      <c r="L16" s="30"/>
      <c r="M16" s="31"/>
      <c r="N16" s="31"/>
      <c r="O16" s="31"/>
      <c r="P16" s="31"/>
      <c r="Q16" s="31"/>
      <c r="R16" s="31"/>
      <c r="S16" s="31"/>
      <c r="T16" s="31"/>
      <c r="U16" s="31"/>
      <c r="V16" s="31"/>
      <c r="W16" s="31"/>
      <c r="X16" s="31"/>
      <c r="Y16" s="31"/>
      <c r="Z16" s="31"/>
      <c r="AA16" s="30"/>
      <c r="AB16" s="30"/>
      <c r="AC16" s="30"/>
      <c r="AD16" s="30"/>
      <c r="AE16" s="30"/>
      <c r="AF16" s="30"/>
      <c r="AG16" s="30"/>
      <c r="AH16" s="30"/>
      <c r="AI16" s="77" t="s">
        <v>55</v>
      </c>
      <c r="AJ16" s="77" t="s">
        <v>56</v>
      </c>
      <c r="AK16" s="77">
        <f>INT(AK13/100)</f>
        <v>20</v>
      </c>
      <c r="AL16" s="77"/>
      <c r="AM16" s="77"/>
      <c r="AN16" s="77"/>
      <c r="AO16" s="77"/>
      <c r="AQ16" s="30"/>
      <c r="AR16" s="30"/>
      <c r="AS16" s="30"/>
      <c r="AT16" s="30"/>
      <c r="AU16" s="30"/>
      <c r="AV16" s="30"/>
      <c r="AW16" s="30"/>
      <c r="AX16" s="30"/>
    </row>
    <row r="17" spans="1:50" ht="16.5" x14ac:dyDescent="0.3">
      <c r="A17" s="54" t="s">
        <v>125</v>
      </c>
      <c r="B17" s="64">
        <f>March!B1</f>
        <v>37</v>
      </c>
      <c r="C17" s="65">
        <f>March!$Q$39</f>
        <v>0</v>
      </c>
      <c r="D17" s="61" t="str">
        <f t="shared" si="3"/>
        <v>00:00</v>
      </c>
      <c r="E17" s="62"/>
      <c r="F17" s="30"/>
      <c r="G17" s="30"/>
      <c r="H17" s="30"/>
      <c r="I17" s="30"/>
      <c r="J17" s="30"/>
      <c r="K17" s="30"/>
      <c r="L17" s="30"/>
      <c r="M17" s="31"/>
      <c r="N17" s="31"/>
      <c r="O17" s="31"/>
      <c r="P17" s="31"/>
      <c r="Q17" s="31"/>
      <c r="R17" s="31"/>
      <c r="S17" s="31"/>
      <c r="T17" s="31"/>
      <c r="U17" s="31"/>
      <c r="V17" s="31"/>
      <c r="W17" s="31"/>
      <c r="X17" s="31"/>
      <c r="Y17" s="31"/>
      <c r="Z17" s="31"/>
      <c r="AA17" s="30"/>
      <c r="AB17" s="30"/>
      <c r="AC17" s="30"/>
      <c r="AD17" s="30"/>
      <c r="AE17" s="30"/>
      <c r="AF17" s="30"/>
      <c r="AG17" s="30"/>
      <c r="AH17" s="30"/>
      <c r="AI17" s="77" t="s">
        <v>57</v>
      </c>
      <c r="AJ17" s="77" t="s">
        <v>54</v>
      </c>
      <c r="AK17" s="77">
        <f>MOD(AK13,100)</f>
        <v>25</v>
      </c>
      <c r="AL17" s="77"/>
      <c r="AM17" s="77"/>
      <c r="AN17" s="77"/>
      <c r="AO17" s="77"/>
      <c r="AQ17" s="30"/>
      <c r="AR17" s="30"/>
      <c r="AS17" s="30"/>
      <c r="AT17" s="30"/>
      <c r="AU17" s="30"/>
      <c r="AV17" s="30"/>
      <c r="AW17" s="30"/>
      <c r="AX17" s="30"/>
    </row>
    <row r="18" spans="1:50" ht="16.5" x14ac:dyDescent="0.3">
      <c r="A18" s="54" t="s">
        <v>8</v>
      </c>
      <c r="B18" s="64">
        <f>April!B1</f>
        <v>37</v>
      </c>
      <c r="C18" s="65">
        <f>April!Q$38</f>
        <v>0</v>
      </c>
      <c r="D18" s="61" t="str">
        <f t="shared" si="3"/>
        <v>00:00</v>
      </c>
      <c r="E18" s="62"/>
      <c r="F18" s="30"/>
      <c r="G18" s="30"/>
      <c r="H18" s="30"/>
      <c r="I18" s="30"/>
      <c r="J18" s="30"/>
      <c r="K18" s="30"/>
      <c r="L18" s="30"/>
      <c r="M18" s="31"/>
      <c r="N18" s="31"/>
      <c r="O18" s="31"/>
      <c r="P18" s="31"/>
      <c r="Q18" s="31"/>
      <c r="R18" s="31"/>
      <c r="S18" s="31"/>
      <c r="T18" s="31"/>
      <c r="U18" s="31"/>
      <c r="V18" s="31"/>
      <c r="W18" s="31"/>
      <c r="X18" s="31"/>
      <c r="Y18" s="31"/>
      <c r="Z18" s="31"/>
      <c r="AA18" s="30"/>
      <c r="AB18" s="30"/>
      <c r="AC18" s="30"/>
      <c r="AD18" s="30"/>
      <c r="AE18" s="30"/>
      <c r="AF18" s="30"/>
      <c r="AG18" s="30"/>
      <c r="AH18" s="30"/>
      <c r="AI18" s="77" t="s">
        <v>58</v>
      </c>
      <c r="AJ18" s="77" t="s">
        <v>56</v>
      </c>
      <c r="AK18" s="77">
        <f>INT(AK16/4)</f>
        <v>5</v>
      </c>
      <c r="AL18" s="77"/>
      <c r="AM18" s="77"/>
      <c r="AN18" s="77"/>
      <c r="AO18" s="77"/>
      <c r="AQ18" s="30"/>
      <c r="AR18" s="30"/>
      <c r="AS18" s="30"/>
      <c r="AT18" s="30"/>
      <c r="AU18" s="30"/>
      <c r="AV18" s="30"/>
      <c r="AW18" s="30"/>
      <c r="AX18" s="30"/>
    </row>
    <row r="19" spans="1:50" ht="16.5" x14ac:dyDescent="0.3">
      <c r="A19" s="54" t="s">
        <v>126</v>
      </c>
      <c r="B19" s="64">
        <f>May!B1</f>
        <v>37</v>
      </c>
      <c r="C19" s="65">
        <f>May!$Q$39</f>
        <v>0</v>
      </c>
      <c r="D19" s="61" t="str">
        <f t="shared" si="3"/>
        <v>00:00</v>
      </c>
      <c r="E19" s="62"/>
      <c r="F19" s="30"/>
      <c r="G19" s="30"/>
      <c r="H19" s="30"/>
      <c r="I19" s="30"/>
      <c r="J19" s="30"/>
      <c r="K19" s="30"/>
      <c r="L19" s="30"/>
      <c r="M19" s="31"/>
      <c r="N19" s="31"/>
      <c r="O19" s="31"/>
      <c r="P19" s="31"/>
      <c r="Q19" s="31"/>
      <c r="R19" s="31"/>
      <c r="S19" s="31"/>
      <c r="T19" s="31"/>
      <c r="U19" s="31"/>
      <c r="V19" s="31"/>
      <c r="W19" s="31"/>
      <c r="X19" s="31"/>
      <c r="Y19" s="31"/>
      <c r="Z19" s="31"/>
      <c r="AA19" s="30"/>
      <c r="AB19" s="30"/>
      <c r="AC19" s="30"/>
      <c r="AD19" s="30"/>
      <c r="AE19" s="30"/>
      <c r="AF19" s="30"/>
      <c r="AG19" s="30"/>
      <c r="AH19" s="30"/>
      <c r="AI19" s="77" t="s">
        <v>59</v>
      </c>
      <c r="AJ19" s="77" t="s">
        <v>54</v>
      </c>
      <c r="AK19" s="77">
        <f>MOD(AK16,4)</f>
        <v>0</v>
      </c>
      <c r="AL19" s="77"/>
      <c r="AM19" s="77"/>
      <c r="AN19" s="77"/>
      <c r="AO19" s="77"/>
      <c r="AQ19" s="30"/>
      <c r="AR19" s="30"/>
      <c r="AS19" s="30"/>
      <c r="AT19" s="30"/>
      <c r="AU19" s="30"/>
      <c r="AV19" s="30"/>
      <c r="AW19" s="30"/>
      <c r="AX19" s="30"/>
    </row>
    <row r="20" spans="1:50" ht="16.5" x14ac:dyDescent="0.3">
      <c r="A20" s="54" t="s">
        <v>127</v>
      </c>
      <c r="B20" s="64">
        <f>June!B1</f>
        <v>37</v>
      </c>
      <c r="C20" s="65">
        <f>June!Q$38</f>
        <v>0</v>
      </c>
      <c r="D20" s="61" t="str">
        <f t="shared" si="3"/>
        <v>00:00</v>
      </c>
      <c r="E20" s="62"/>
      <c r="F20" s="30"/>
      <c r="G20" s="30"/>
      <c r="H20" s="30"/>
      <c r="I20" s="30"/>
      <c r="J20" s="30"/>
      <c r="K20" s="30"/>
      <c r="L20" s="30"/>
      <c r="M20" s="31"/>
      <c r="N20" s="31"/>
      <c r="O20" s="31"/>
      <c r="P20" s="31"/>
      <c r="Q20" s="31"/>
      <c r="R20" s="31"/>
      <c r="S20" s="31"/>
      <c r="T20" s="31"/>
      <c r="U20" s="31"/>
      <c r="V20" s="31"/>
      <c r="W20" s="31"/>
      <c r="X20" s="31"/>
      <c r="Y20" s="31"/>
      <c r="Z20" s="31"/>
      <c r="AA20" s="30"/>
      <c r="AB20" s="30"/>
      <c r="AC20" s="30"/>
      <c r="AD20" s="30"/>
      <c r="AE20" s="30"/>
      <c r="AF20" s="30"/>
      <c r="AG20" s="30"/>
      <c r="AH20" s="30"/>
      <c r="AI20" s="77"/>
      <c r="AJ20" s="77"/>
      <c r="AK20" s="77"/>
      <c r="AL20" s="77"/>
      <c r="AM20" s="77"/>
      <c r="AN20" s="77"/>
      <c r="AO20" s="77"/>
      <c r="AQ20" s="30"/>
      <c r="AR20" s="30"/>
      <c r="AS20" s="30"/>
      <c r="AT20" s="30"/>
      <c r="AU20" s="30"/>
      <c r="AV20" s="30"/>
      <c r="AW20" s="30"/>
      <c r="AX20" s="30"/>
    </row>
    <row r="21" spans="1:50" ht="16.5" x14ac:dyDescent="0.3">
      <c r="A21" s="54" t="s">
        <v>128</v>
      </c>
      <c r="B21" s="64">
        <f>July!B1</f>
        <v>37</v>
      </c>
      <c r="C21" s="65">
        <f>July!$Q$39</f>
        <v>0</v>
      </c>
      <c r="D21" s="61" t="str">
        <f t="shared" si="3"/>
        <v>00:00</v>
      </c>
      <c r="E21" s="62"/>
      <c r="F21" s="30"/>
      <c r="G21" s="30"/>
      <c r="H21" s="30"/>
      <c r="I21" s="30"/>
      <c r="J21" s="30"/>
      <c r="K21" s="30"/>
      <c r="L21" s="30"/>
      <c r="M21" s="31"/>
      <c r="N21" s="31"/>
      <c r="O21" s="31"/>
      <c r="P21" s="31"/>
      <c r="Q21" s="31"/>
      <c r="R21" s="31"/>
      <c r="S21" s="31"/>
      <c r="T21" s="31"/>
      <c r="U21" s="31"/>
      <c r="V21" s="31"/>
      <c r="W21" s="31"/>
      <c r="X21" s="31"/>
      <c r="Y21" s="31"/>
      <c r="Z21" s="31"/>
      <c r="AA21" s="30"/>
      <c r="AB21" s="30"/>
      <c r="AC21" s="30"/>
      <c r="AD21" s="30"/>
      <c r="AE21" s="30"/>
      <c r="AF21" s="30"/>
      <c r="AG21" s="30"/>
      <c r="AH21" s="30"/>
      <c r="AI21" s="77" t="s">
        <v>35</v>
      </c>
      <c r="AJ21" s="77" t="s">
        <v>56</v>
      </c>
      <c r="AK21" s="77">
        <f>INT((AK16+8)/25)</f>
        <v>1</v>
      </c>
      <c r="AL21" s="77"/>
      <c r="AM21" s="77"/>
      <c r="AN21" s="77"/>
      <c r="AO21" s="77"/>
      <c r="AQ21" s="30"/>
      <c r="AR21" s="30"/>
      <c r="AS21" s="30"/>
      <c r="AT21" s="30"/>
      <c r="AU21" s="30"/>
      <c r="AV21" s="30"/>
      <c r="AW21" s="30"/>
      <c r="AX21" s="30"/>
    </row>
    <row r="22" spans="1:50" ht="16.5" x14ac:dyDescent="0.3">
      <c r="A22" s="54" t="s">
        <v>12</v>
      </c>
      <c r="B22" s="64">
        <f>August!B1</f>
        <v>37</v>
      </c>
      <c r="C22" s="65">
        <f>August!$Q$39</f>
        <v>0</v>
      </c>
      <c r="D22" s="61" t="str">
        <f t="shared" si="3"/>
        <v>00:00</v>
      </c>
      <c r="E22" s="62"/>
      <c r="F22" s="30"/>
      <c r="G22" s="30"/>
      <c r="H22" s="30"/>
      <c r="I22" s="30"/>
      <c r="J22" s="30"/>
      <c r="K22" s="30"/>
      <c r="L22" s="30"/>
      <c r="M22" s="31"/>
      <c r="N22" s="31"/>
      <c r="O22" s="31"/>
      <c r="P22" s="31"/>
      <c r="Q22" s="31"/>
      <c r="R22" s="31"/>
      <c r="S22" s="31"/>
      <c r="T22" s="31"/>
      <c r="U22" s="31"/>
      <c r="V22" s="31"/>
      <c r="W22" s="31"/>
      <c r="X22" s="31"/>
      <c r="Y22" s="31"/>
      <c r="Z22" s="31"/>
      <c r="AA22" s="30"/>
      <c r="AB22" s="30"/>
      <c r="AC22" s="30"/>
      <c r="AD22" s="30"/>
      <c r="AE22" s="30"/>
      <c r="AF22" s="30"/>
      <c r="AG22" s="30"/>
      <c r="AH22" s="30"/>
      <c r="AI22" s="77" t="s">
        <v>60</v>
      </c>
      <c r="AJ22" s="77" t="s">
        <v>56</v>
      </c>
      <c r="AK22" s="77">
        <f>INT((AK16-AK21+1)/3)</f>
        <v>6</v>
      </c>
      <c r="AL22" s="77"/>
      <c r="AM22" s="77"/>
      <c r="AN22" s="77"/>
      <c r="AO22" s="77"/>
      <c r="AQ22" s="30"/>
      <c r="AR22" s="30"/>
      <c r="AS22" s="30"/>
      <c r="AT22" s="30"/>
      <c r="AU22" s="30"/>
      <c r="AV22" s="30"/>
      <c r="AW22" s="30"/>
      <c r="AX22" s="30"/>
    </row>
    <row r="23" spans="1:50" ht="16.5" x14ac:dyDescent="0.3">
      <c r="A23" s="54" t="s">
        <v>13</v>
      </c>
      <c r="B23" s="64">
        <f>September!B1</f>
        <v>37</v>
      </c>
      <c r="C23" s="65">
        <f>September!Q$38</f>
        <v>0</v>
      </c>
      <c r="D23" s="61" t="str">
        <f t="shared" si="3"/>
        <v>00:00</v>
      </c>
      <c r="E23" s="62"/>
      <c r="F23" s="30"/>
      <c r="G23" s="30"/>
      <c r="H23" s="30"/>
      <c r="I23" s="30"/>
      <c r="J23" s="30"/>
      <c r="K23" s="30"/>
      <c r="L23" s="30"/>
      <c r="M23" s="31"/>
      <c r="N23" s="31"/>
      <c r="O23" s="31"/>
      <c r="P23" s="31"/>
      <c r="Q23" s="31"/>
      <c r="R23" s="31"/>
      <c r="S23" s="31"/>
      <c r="T23" s="31"/>
      <c r="U23" s="31"/>
      <c r="V23" s="31"/>
      <c r="W23" s="31"/>
      <c r="X23" s="31"/>
      <c r="Y23" s="31"/>
      <c r="Z23" s="31"/>
      <c r="AA23" s="30"/>
      <c r="AB23" s="30"/>
      <c r="AC23" s="30"/>
      <c r="AD23" s="30"/>
      <c r="AE23" s="30"/>
      <c r="AF23" s="30"/>
      <c r="AG23" s="30"/>
      <c r="AH23" s="30"/>
      <c r="AI23" s="77" t="s">
        <v>61</v>
      </c>
      <c r="AJ23" s="77" t="s">
        <v>56</v>
      </c>
      <c r="AK23" s="77">
        <f>MOD(19*AK14+AK16-AK18-AK22+15,30)</f>
        <v>23</v>
      </c>
      <c r="AL23" s="77"/>
      <c r="AM23" s="77"/>
      <c r="AN23" s="77"/>
      <c r="AO23" s="77"/>
      <c r="AQ23" s="30"/>
      <c r="AR23" s="30"/>
      <c r="AS23" s="30"/>
      <c r="AT23" s="30"/>
      <c r="AU23" s="30"/>
      <c r="AV23" s="30"/>
      <c r="AW23" s="30"/>
      <c r="AX23" s="30"/>
    </row>
    <row r="24" spans="1:50" ht="16.5" x14ac:dyDescent="0.3">
      <c r="A24" s="54" t="s">
        <v>129</v>
      </c>
      <c r="B24" s="64">
        <f>October!B1</f>
        <v>37</v>
      </c>
      <c r="C24" s="65">
        <f>October!$Q$39</f>
        <v>0</v>
      </c>
      <c r="D24" s="61" t="str">
        <f t="shared" si="3"/>
        <v>00:00</v>
      </c>
      <c r="E24" s="62"/>
      <c r="F24" s="30"/>
      <c r="G24" s="30"/>
      <c r="H24" s="30"/>
      <c r="I24" s="30"/>
      <c r="J24" s="30"/>
      <c r="K24" s="30"/>
      <c r="L24" s="30"/>
      <c r="M24" s="31"/>
      <c r="N24" s="31"/>
      <c r="O24" s="31"/>
      <c r="P24" s="31"/>
      <c r="Q24" s="31"/>
      <c r="R24" s="31"/>
      <c r="S24" s="31"/>
      <c r="T24" s="31"/>
      <c r="U24" s="31"/>
      <c r="V24" s="31"/>
      <c r="W24" s="31"/>
      <c r="X24" s="31"/>
      <c r="Y24" s="31"/>
      <c r="Z24" s="31"/>
      <c r="AA24" s="30"/>
      <c r="AB24" s="30"/>
      <c r="AC24" s="30"/>
      <c r="AD24" s="30"/>
      <c r="AE24" s="30"/>
      <c r="AF24" s="30"/>
      <c r="AG24" s="30"/>
      <c r="AH24" s="30"/>
      <c r="AI24" s="77" t="s">
        <v>62</v>
      </c>
      <c r="AJ24" s="77" t="s">
        <v>56</v>
      </c>
      <c r="AK24" s="77">
        <f>INT(AK17/4)</f>
        <v>6</v>
      </c>
      <c r="AL24" s="77"/>
      <c r="AM24" s="77"/>
      <c r="AN24" s="77"/>
      <c r="AO24" s="77"/>
      <c r="AQ24" s="30"/>
      <c r="AR24" s="30"/>
      <c r="AS24" s="30"/>
      <c r="AT24" s="30"/>
      <c r="AU24" s="30"/>
      <c r="AV24" s="30"/>
      <c r="AW24" s="30"/>
      <c r="AX24" s="30"/>
    </row>
    <row r="25" spans="1:50" ht="16.5" x14ac:dyDescent="0.3">
      <c r="A25" s="54" t="s">
        <v>15</v>
      </c>
      <c r="B25" s="64">
        <f>November!B1</f>
        <v>37</v>
      </c>
      <c r="C25" s="65">
        <f>November!Q$38</f>
        <v>0</v>
      </c>
      <c r="D25" s="61" t="str">
        <f t="shared" si="3"/>
        <v>00:00</v>
      </c>
      <c r="E25" s="62"/>
      <c r="F25" s="30"/>
      <c r="G25" s="30"/>
      <c r="H25" s="30"/>
      <c r="I25" s="30"/>
      <c r="J25" s="30"/>
      <c r="K25" s="30"/>
      <c r="L25" s="30"/>
      <c r="M25" s="31"/>
      <c r="N25" s="31"/>
      <c r="O25" s="31"/>
      <c r="P25" s="31"/>
      <c r="Q25" s="31"/>
      <c r="R25" s="31"/>
      <c r="S25" s="31"/>
      <c r="T25" s="31"/>
      <c r="U25" s="31"/>
      <c r="V25" s="31"/>
      <c r="W25" s="31"/>
      <c r="X25" s="31"/>
      <c r="Y25" s="31"/>
      <c r="Z25" s="31"/>
      <c r="AA25" s="30"/>
      <c r="AB25" s="30"/>
      <c r="AC25" s="30"/>
      <c r="AD25" s="30"/>
      <c r="AE25" s="30"/>
      <c r="AF25" s="30"/>
      <c r="AG25" s="30"/>
      <c r="AH25" s="30"/>
      <c r="AI25" s="77" t="s">
        <v>63</v>
      </c>
      <c r="AJ25" s="77" t="s">
        <v>54</v>
      </c>
      <c r="AK25" s="77">
        <f>MOD(AK17,4)</f>
        <v>1</v>
      </c>
      <c r="AL25" s="77"/>
      <c r="AM25" s="77"/>
      <c r="AN25" s="77"/>
      <c r="AO25" s="77"/>
      <c r="AQ25" s="30"/>
      <c r="AR25" s="30"/>
      <c r="AS25" s="30"/>
      <c r="AT25" s="30"/>
      <c r="AU25" s="30"/>
      <c r="AV25" s="30"/>
      <c r="AW25" s="30"/>
      <c r="AX25" s="30"/>
    </row>
    <row r="26" spans="1:50" ht="16.5" x14ac:dyDescent="0.3">
      <c r="A26" s="54" t="s">
        <v>16</v>
      </c>
      <c r="B26" s="64">
        <f>December!B1</f>
        <v>37</v>
      </c>
      <c r="C26" s="65">
        <f>December!$Q$39</f>
        <v>0</v>
      </c>
      <c r="D26" s="61" t="str">
        <f t="shared" si="3"/>
        <v>00:00</v>
      </c>
      <c r="E26" s="62"/>
      <c r="F26" s="30"/>
      <c r="G26" s="30"/>
      <c r="H26" s="30"/>
      <c r="I26" s="30"/>
      <c r="J26" s="30"/>
      <c r="K26" s="30"/>
      <c r="L26" s="30"/>
      <c r="M26" s="31"/>
      <c r="N26" s="31"/>
      <c r="O26" s="31"/>
      <c r="P26" s="31"/>
      <c r="Q26" s="31"/>
      <c r="R26" s="31"/>
      <c r="S26" s="31"/>
      <c r="T26" s="31"/>
      <c r="U26" s="31"/>
      <c r="V26" s="31"/>
      <c r="W26" s="31"/>
      <c r="X26" s="31"/>
      <c r="Y26" s="31"/>
      <c r="Z26" s="31"/>
      <c r="AA26" s="30"/>
      <c r="AB26" s="30"/>
      <c r="AC26" s="30"/>
      <c r="AD26" s="30"/>
      <c r="AE26" s="30"/>
      <c r="AF26" s="30"/>
      <c r="AG26" s="30"/>
      <c r="AH26" s="30"/>
      <c r="AI26" s="77" t="s">
        <v>64</v>
      </c>
      <c r="AJ26" s="77" t="s">
        <v>54</v>
      </c>
      <c r="AK26" s="77">
        <f>MOD(32+2*AK19+2*AK24-AK23-AK25,7)</f>
        <v>6</v>
      </c>
      <c r="AL26" s="77"/>
      <c r="AM26" s="77"/>
      <c r="AN26" s="77"/>
      <c r="AO26" s="77"/>
      <c r="AQ26" s="30"/>
      <c r="AR26" s="30"/>
      <c r="AS26" s="30"/>
      <c r="AT26" s="30"/>
      <c r="AU26" s="30"/>
      <c r="AV26" s="30"/>
      <c r="AW26" s="30"/>
      <c r="AX26" s="30"/>
    </row>
    <row r="27" spans="1:50" ht="16.5" x14ac:dyDescent="0.3">
      <c r="A27" s="32" t="s">
        <v>91</v>
      </c>
      <c r="B27" s="66" t="s">
        <v>41</v>
      </c>
      <c r="C27" s="67">
        <f>SUM(C14:C26)</f>
        <v>0</v>
      </c>
      <c r="D27" s="68" t="str">
        <f>IF(C27&lt;0,"-"&amp;TEXT(ABS(C27/24),"[tt]:mm"),TEXT(C27/24,"[tt]:mm"))</f>
        <v>00:00</v>
      </c>
      <c r="E27" s="62"/>
      <c r="F27" s="30"/>
      <c r="G27" s="30"/>
      <c r="H27" s="30"/>
      <c r="I27" s="30"/>
      <c r="J27" s="30"/>
      <c r="K27" s="30"/>
      <c r="L27" s="30"/>
      <c r="M27" s="31"/>
      <c r="N27" s="31"/>
      <c r="O27" s="31"/>
      <c r="P27" s="31"/>
      <c r="Q27" s="31"/>
      <c r="R27" s="31"/>
      <c r="S27" s="31"/>
      <c r="T27" s="31"/>
      <c r="U27" s="31"/>
      <c r="V27" s="31"/>
      <c r="W27" s="31"/>
      <c r="X27" s="31"/>
      <c r="Y27" s="31"/>
      <c r="Z27" s="31"/>
      <c r="AA27" s="30"/>
      <c r="AB27" s="30"/>
      <c r="AC27" s="30"/>
      <c r="AD27" s="30"/>
      <c r="AE27" s="30"/>
      <c r="AF27" s="30"/>
      <c r="AG27" s="30"/>
      <c r="AH27" s="30"/>
      <c r="AI27" s="77" t="s">
        <v>65</v>
      </c>
      <c r="AJ27" s="77" t="s">
        <v>56</v>
      </c>
      <c r="AK27" s="77">
        <f>INT((AK14+11*AK23+22*AK26)/451)</f>
        <v>0</v>
      </c>
      <c r="AL27" s="77"/>
      <c r="AM27" s="77"/>
      <c r="AN27" s="77"/>
      <c r="AO27" s="77"/>
      <c r="AQ27" s="30"/>
      <c r="AR27" s="30"/>
      <c r="AS27" s="30"/>
      <c r="AT27" s="30"/>
      <c r="AU27" s="30"/>
      <c r="AV27" s="30"/>
      <c r="AW27" s="30"/>
      <c r="AX27" s="30"/>
    </row>
    <row r="28" spans="1:50" ht="15.75" x14ac:dyDescent="0.25">
      <c r="A28" s="30"/>
      <c r="B28" s="30"/>
      <c r="C28" s="30"/>
      <c r="D28" s="30"/>
      <c r="E28" s="30"/>
      <c r="F28" s="30"/>
      <c r="G28" s="30"/>
      <c r="H28" s="30"/>
      <c r="I28" s="30"/>
      <c r="J28" s="30"/>
      <c r="K28" s="30"/>
      <c r="L28" s="30"/>
      <c r="M28" s="31"/>
      <c r="N28" s="31"/>
      <c r="O28" s="31"/>
      <c r="P28" s="31"/>
      <c r="Q28" s="31"/>
      <c r="R28" s="31"/>
      <c r="S28" s="31"/>
      <c r="T28" s="31"/>
      <c r="U28" s="31"/>
      <c r="V28" s="31"/>
      <c r="W28" s="31"/>
      <c r="X28" s="31"/>
      <c r="Y28" s="31"/>
      <c r="Z28" s="31"/>
      <c r="AA28" s="30"/>
      <c r="AB28" s="30"/>
      <c r="AC28" s="30"/>
      <c r="AD28" s="30"/>
      <c r="AE28" s="30"/>
      <c r="AF28" s="30"/>
      <c r="AG28" s="30"/>
      <c r="AH28" s="30"/>
      <c r="AI28" s="77" t="s">
        <v>18</v>
      </c>
      <c r="AJ28" s="77" t="s">
        <v>56</v>
      </c>
      <c r="AK28" s="77">
        <f>INT((AK23+AK26-7*AK27+114)/31)</f>
        <v>4</v>
      </c>
      <c r="AL28" s="77"/>
      <c r="AM28" s="77"/>
      <c r="AN28" s="77"/>
      <c r="AO28" s="77"/>
      <c r="AQ28" s="30"/>
      <c r="AR28" s="30"/>
      <c r="AS28" s="30"/>
      <c r="AT28" s="30"/>
      <c r="AU28" s="30"/>
      <c r="AV28" s="30"/>
      <c r="AW28" s="30"/>
      <c r="AX28" s="30"/>
    </row>
    <row r="29" spans="1:50" ht="15.75" x14ac:dyDescent="0.25">
      <c r="A29" s="69"/>
      <c r="B29" s="69"/>
      <c r="C29" s="69"/>
      <c r="D29" s="69"/>
      <c r="E29" s="69"/>
      <c r="F29" s="30"/>
      <c r="G29" s="30"/>
      <c r="H29" s="30"/>
      <c r="I29" s="30"/>
      <c r="J29" s="30"/>
      <c r="K29" s="30"/>
      <c r="L29" s="30"/>
      <c r="M29" s="31"/>
      <c r="N29" s="31"/>
      <c r="O29" s="31"/>
      <c r="P29" s="31"/>
      <c r="Q29" s="31"/>
      <c r="R29" s="31"/>
      <c r="S29" s="31"/>
      <c r="T29" s="31"/>
      <c r="U29" s="31"/>
      <c r="V29" s="31"/>
      <c r="W29" s="31"/>
      <c r="X29" s="31"/>
      <c r="Y29" s="31"/>
      <c r="Z29" s="31"/>
      <c r="AA29" s="30"/>
      <c r="AB29" s="30"/>
      <c r="AC29" s="30"/>
      <c r="AD29" s="30"/>
      <c r="AE29" s="30"/>
      <c r="AF29" s="30"/>
      <c r="AG29" s="30"/>
      <c r="AH29" s="30"/>
      <c r="AI29" s="77" t="s">
        <v>66</v>
      </c>
      <c r="AJ29" s="77" t="s">
        <v>54</v>
      </c>
      <c r="AK29" s="77">
        <f>MOD(AK23+AK26-7*AK27+114,31)</f>
        <v>19</v>
      </c>
      <c r="AL29" s="77"/>
      <c r="AM29" s="77"/>
      <c r="AN29" s="77"/>
      <c r="AO29" s="77"/>
      <c r="AQ29" s="30"/>
      <c r="AR29" s="30"/>
      <c r="AS29" s="30"/>
      <c r="AT29" s="30"/>
      <c r="AU29" s="30"/>
      <c r="AV29" s="30"/>
      <c r="AW29" s="30"/>
      <c r="AX29" s="30"/>
    </row>
    <row r="30" spans="1:50" ht="16.5" x14ac:dyDescent="0.3">
      <c r="A30" s="29" t="s">
        <v>93</v>
      </c>
      <c r="B30" s="29" t="s">
        <v>94</v>
      </c>
      <c r="C30" s="30"/>
      <c r="D30" s="69"/>
      <c r="E30" s="69"/>
      <c r="F30" s="30"/>
      <c r="G30" s="30"/>
      <c r="H30" s="30"/>
      <c r="I30" s="30"/>
      <c r="J30" s="30"/>
      <c r="K30" s="30"/>
      <c r="L30" s="30"/>
      <c r="M30" s="31"/>
      <c r="N30" s="31"/>
      <c r="O30" s="31"/>
      <c r="P30" s="31"/>
      <c r="Q30" s="31"/>
      <c r="R30" s="31"/>
      <c r="S30" s="31"/>
      <c r="T30" s="31"/>
      <c r="U30" s="31"/>
      <c r="V30" s="31"/>
      <c r="W30" s="31"/>
      <c r="X30" s="31"/>
      <c r="Y30" s="31"/>
      <c r="Z30" s="31"/>
      <c r="AA30" s="30"/>
      <c r="AB30" s="30"/>
      <c r="AC30" s="30"/>
      <c r="AD30" s="30"/>
      <c r="AE30" s="30"/>
      <c r="AF30" s="30"/>
      <c r="AG30" s="30"/>
      <c r="AH30" s="30"/>
      <c r="AI30" s="77" t="s">
        <v>67</v>
      </c>
      <c r="AJ30" s="77" t="s">
        <v>68</v>
      </c>
      <c r="AK30" s="77">
        <f>(AK28-3)*31+AK29-20</f>
        <v>30</v>
      </c>
      <c r="AL30" s="77"/>
      <c r="AM30" s="77"/>
      <c r="AN30" s="77"/>
      <c r="AO30" s="77"/>
      <c r="AQ30" s="30"/>
      <c r="AR30" s="30"/>
      <c r="AS30" s="30"/>
      <c r="AT30" s="30"/>
      <c r="AU30" s="30"/>
      <c r="AV30" s="30"/>
      <c r="AW30" s="30"/>
      <c r="AX30" s="30"/>
    </row>
    <row r="31" spans="1:50" ht="16.5" x14ac:dyDescent="0.3">
      <c r="A31" s="54" t="s">
        <v>95</v>
      </c>
      <c r="B31" s="70">
        <f>DATE(B5,1,1)</f>
        <v>45658</v>
      </c>
      <c r="C31" s="30"/>
      <c r="D31" s="30"/>
      <c r="E31" s="69"/>
      <c r="F31" s="30"/>
      <c r="G31" s="30"/>
      <c r="H31" s="30"/>
      <c r="I31" s="30"/>
      <c r="J31" s="30"/>
      <c r="K31" s="30"/>
      <c r="L31" s="30"/>
      <c r="M31" s="31"/>
      <c r="N31" s="31"/>
      <c r="O31" s="31"/>
      <c r="P31" s="31"/>
      <c r="Q31" s="31"/>
      <c r="R31" s="31"/>
      <c r="S31" s="31"/>
      <c r="T31" s="31"/>
      <c r="U31" s="31"/>
      <c r="V31" s="31"/>
      <c r="W31" s="31"/>
      <c r="X31" s="31"/>
      <c r="Y31" s="31"/>
      <c r="Z31" s="31"/>
      <c r="AA31" s="30"/>
      <c r="AB31" s="30"/>
      <c r="AC31" s="30"/>
      <c r="AD31" s="30"/>
      <c r="AE31" s="30"/>
      <c r="AF31" s="30"/>
      <c r="AG31" s="30"/>
      <c r="AH31" s="30"/>
      <c r="AI31" s="77"/>
      <c r="AJ31" s="77"/>
      <c r="AK31" s="77"/>
      <c r="AL31" s="77"/>
      <c r="AM31" s="77"/>
      <c r="AN31" s="77"/>
      <c r="AO31" s="77"/>
      <c r="AQ31" s="30"/>
      <c r="AR31" s="30"/>
      <c r="AS31" s="30"/>
      <c r="AT31" s="30"/>
      <c r="AU31" s="30"/>
      <c r="AV31" s="30"/>
      <c r="AW31" s="30"/>
      <c r="AX31" s="30"/>
    </row>
    <row r="32" spans="1:50" ht="16.5" x14ac:dyDescent="0.3">
      <c r="A32" s="54" t="s">
        <v>96</v>
      </c>
      <c r="B32" s="70">
        <f>B35-7</f>
        <v>45760</v>
      </c>
      <c r="C32" s="30"/>
      <c r="D32" s="30"/>
      <c r="E32" s="30"/>
      <c r="F32" s="30"/>
      <c r="G32" s="30"/>
      <c r="H32" s="30"/>
      <c r="I32" s="30"/>
      <c r="J32" s="30"/>
      <c r="K32" s="30"/>
      <c r="L32" s="30"/>
      <c r="M32" s="31"/>
      <c r="N32" s="31"/>
      <c r="O32" s="31"/>
      <c r="P32" s="31"/>
      <c r="Q32" s="31"/>
      <c r="R32" s="31"/>
      <c r="S32" s="31"/>
      <c r="T32" s="31"/>
      <c r="U32" s="31"/>
      <c r="V32" s="31"/>
      <c r="W32" s="31"/>
      <c r="X32" s="31"/>
      <c r="Y32" s="31"/>
      <c r="Z32" s="31"/>
      <c r="AA32" s="30"/>
      <c r="AB32" s="30"/>
      <c r="AC32" s="30"/>
      <c r="AD32" s="30"/>
      <c r="AE32" s="30"/>
      <c r="AF32" s="30"/>
      <c r="AG32" s="30"/>
      <c r="AH32" s="30"/>
      <c r="AI32" s="77"/>
      <c r="AJ32" s="77" t="s">
        <v>20</v>
      </c>
      <c r="AK32" s="77">
        <f>AK29+1</f>
        <v>20</v>
      </c>
      <c r="AL32" s="77"/>
      <c r="AM32" s="77"/>
      <c r="AN32" s="77"/>
      <c r="AO32" s="77"/>
      <c r="AQ32" s="30"/>
      <c r="AR32" s="30"/>
      <c r="AS32" s="30"/>
      <c r="AT32" s="30"/>
      <c r="AU32" s="30"/>
      <c r="AV32" s="30"/>
      <c r="AW32" s="30"/>
      <c r="AX32" s="30"/>
    </row>
    <row r="33" spans="1:50" ht="16.5" x14ac:dyDescent="0.3">
      <c r="A33" s="54" t="s">
        <v>134</v>
      </c>
      <c r="B33" s="70">
        <f>AL36</f>
        <v>45764</v>
      </c>
      <c r="C33" s="30"/>
      <c r="D33" s="30"/>
      <c r="E33" s="30"/>
      <c r="F33" s="30"/>
      <c r="G33" s="30"/>
      <c r="H33" s="30"/>
      <c r="I33" s="30"/>
      <c r="J33" s="30"/>
      <c r="K33" s="30"/>
      <c r="L33" s="30"/>
      <c r="M33" s="31"/>
      <c r="N33" s="31"/>
      <c r="O33" s="31"/>
      <c r="P33" s="31"/>
      <c r="Q33" s="31"/>
      <c r="R33" s="31"/>
      <c r="S33" s="31"/>
      <c r="T33" s="31"/>
      <c r="U33" s="31"/>
      <c r="V33" s="31"/>
      <c r="W33" s="31"/>
      <c r="X33" s="31"/>
      <c r="Y33" s="31"/>
      <c r="Z33" s="31"/>
      <c r="AA33" s="30"/>
      <c r="AB33" s="30"/>
      <c r="AC33" s="30"/>
      <c r="AD33" s="30"/>
      <c r="AE33" s="30"/>
      <c r="AF33" s="30"/>
      <c r="AG33" s="30"/>
      <c r="AH33" s="30"/>
      <c r="AI33" s="77"/>
      <c r="AJ33" s="77" t="s">
        <v>17</v>
      </c>
      <c r="AK33" s="77">
        <f>AK28</f>
        <v>4</v>
      </c>
      <c r="AL33" s="77"/>
      <c r="AM33" s="77"/>
      <c r="AN33" s="77"/>
      <c r="AO33" s="77"/>
      <c r="AQ33" s="30"/>
      <c r="AR33" s="30"/>
      <c r="AS33" s="30"/>
      <c r="AT33" s="30"/>
      <c r="AU33" s="30"/>
      <c r="AV33" s="30"/>
      <c r="AW33" s="30"/>
      <c r="AX33" s="30"/>
    </row>
    <row r="34" spans="1:50" ht="16.5" x14ac:dyDescent="0.3">
      <c r="A34" s="54" t="s">
        <v>97</v>
      </c>
      <c r="B34" s="70">
        <f>AL37</f>
        <v>45765</v>
      </c>
      <c r="C34" s="30"/>
      <c r="D34" s="30"/>
      <c r="E34" s="30"/>
      <c r="F34" s="30"/>
      <c r="G34" s="30"/>
      <c r="H34" s="30"/>
      <c r="I34" s="30"/>
      <c r="J34" s="30"/>
      <c r="K34" s="30"/>
      <c r="L34" s="30"/>
      <c r="M34" s="31"/>
      <c r="N34" s="31"/>
      <c r="O34" s="31"/>
      <c r="P34" s="31"/>
      <c r="Q34" s="31"/>
      <c r="R34" s="31"/>
      <c r="S34" s="31"/>
      <c r="T34" s="31"/>
      <c r="U34" s="31"/>
      <c r="V34" s="31"/>
      <c r="W34" s="31"/>
      <c r="X34" s="31"/>
      <c r="Y34" s="31"/>
      <c r="Z34" s="31"/>
      <c r="AA34" s="30"/>
      <c r="AB34" s="30"/>
      <c r="AC34" s="30"/>
      <c r="AD34" s="30"/>
      <c r="AE34" s="30"/>
      <c r="AF34" s="30"/>
      <c r="AG34" s="30"/>
      <c r="AH34" s="30"/>
      <c r="AI34" s="77"/>
      <c r="AJ34" s="77"/>
      <c r="AK34" s="77"/>
      <c r="AL34" s="77"/>
      <c r="AM34" s="77"/>
      <c r="AN34" s="77"/>
      <c r="AO34" s="77"/>
      <c r="AQ34" s="30"/>
      <c r="AR34" s="30"/>
      <c r="AS34" s="30"/>
      <c r="AT34" s="30"/>
      <c r="AU34" s="30"/>
      <c r="AV34" s="30"/>
      <c r="AW34" s="30"/>
      <c r="AX34" s="30"/>
    </row>
    <row r="35" spans="1:50" ht="16.5" x14ac:dyDescent="0.3">
      <c r="A35" s="54" t="s">
        <v>98</v>
      </c>
      <c r="B35" s="70">
        <f>AL38</f>
        <v>45767</v>
      </c>
      <c r="C35" s="30"/>
      <c r="D35" s="30"/>
      <c r="E35" s="30"/>
      <c r="F35" s="30"/>
      <c r="G35" s="30"/>
      <c r="H35" s="30"/>
      <c r="I35" s="30"/>
      <c r="J35" s="30"/>
      <c r="K35" s="30"/>
      <c r="L35" s="30"/>
      <c r="M35" s="31"/>
      <c r="N35" s="31"/>
      <c r="O35" s="31"/>
      <c r="P35" s="31"/>
      <c r="Q35" s="31"/>
      <c r="R35" s="31"/>
      <c r="S35" s="31"/>
      <c r="T35" s="31"/>
      <c r="U35" s="31"/>
      <c r="V35" s="31"/>
      <c r="W35" s="31"/>
      <c r="X35" s="31"/>
      <c r="Y35" s="31"/>
      <c r="Z35" s="31"/>
      <c r="AA35" s="30"/>
      <c r="AB35" s="30"/>
      <c r="AC35" s="30"/>
      <c r="AD35" s="30"/>
      <c r="AE35" s="30"/>
      <c r="AF35" s="30"/>
      <c r="AG35" s="30"/>
      <c r="AH35" s="30"/>
      <c r="AI35" s="77"/>
      <c r="AJ35" s="77"/>
      <c r="AK35" s="77"/>
      <c r="AL35" s="77" t="s">
        <v>69</v>
      </c>
      <c r="AM35" s="77"/>
      <c r="AN35" s="77" t="s">
        <v>70</v>
      </c>
      <c r="AO35" s="77"/>
      <c r="AQ35" s="30"/>
      <c r="AR35" s="30"/>
      <c r="AS35" s="30"/>
      <c r="AT35" s="30"/>
      <c r="AU35" s="30"/>
      <c r="AV35" s="30"/>
      <c r="AW35" s="30"/>
      <c r="AX35" s="30"/>
    </row>
    <row r="36" spans="1:50" ht="16.5" x14ac:dyDescent="0.3">
      <c r="A36" s="54" t="s">
        <v>99</v>
      </c>
      <c r="B36" s="70">
        <f>AL39</f>
        <v>45768</v>
      </c>
      <c r="C36" s="30"/>
      <c r="D36" s="30"/>
      <c r="E36" s="30"/>
      <c r="F36" s="30"/>
      <c r="G36" s="30"/>
      <c r="H36" s="30"/>
      <c r="I36" s="30"/>
      <c r="J36" s="30"/>
      <c r="K36" s="30"/>
      <c r="L36" s="30"/>
      <c r="M36" s="31"/>
      <c r="N36" s="31"/>
      <c r="O36" s="31"/>
      <c r="P36" s="31"/>
      <c r="Q36" s="31"/>
      <c r="R36" s="31"/>
      <c r="S36" s="31"/>
      <c r="T36" s="31"/>
      <c r="U36" s="31"/>
      <c r="V36" s="31"/>
      <c r="W36" s="31"/>
      <c r="X36" s="31"/>
      <c r="Y36" s="31"/>
      <c r="Z36" s="31"/>
      <c r="AA36" s="30"/>
      <c r="AB36" s="30"/>
      <c r="AC36" s="30"/>
      <c r="AD36" s="30"/>
      <c r="AE36" s="30"/>
      <c r="AF36" s="30"/>
      <c r="AG36" s="30"/>
      <c r="AH36" s="30"/>
      <c r="AI36" s="77"/>
      <c r="AJ36" s="77" t="s">
        <v>43</v>
      </c>
      <c r="AK36" s="77"/>
      <c r="AL36" s="79">
        <f>AL38-3</f>
        <v>45764</v>
      </c>
      <c r="AM36" s="79">
        <f>AM38-3</f>
        <v>108</v>
      </c>
      <c r="AN36" s="77">
        <v>-3</v>
      </c>
      <c r="AO36" s="77"/>
      <c r="AQ36" s="30"/>
      <c r="AR36" s="30"/>
      <c r="AS36" s="30"/>
      <c r="AT36" s="30"/>
      <c r="AU36" s="30"/>
      <c r="AV36" s="30"/>
      <c r="AW36" s="30"/>
      <c r="AX36" s="30"/>
    </row>
    <row r="37" spans="1:50" ht="16.5" x14ac:dyDescent="0.3">
      <c r="A37" s="54" t="s">
        <v>100</v>
      </c>
      <c r="B37" s="70">
        <f>AL46</f>
        <v>45806</v>
      </c>
      <c r="C37" s="30"/>
      <c r="D37" s="30"/>
      <c r="E37" s="30"/>
      <c r="F37" s="30"/>
      <c r="G37" s="30"/>
      <c r="H37" s="30"/>
      <c r="I37" s="30"/>
      <c r="J37" s="30"/>
      <c r="K37" s="30"/>
      <c r="L37" s="30"/>
      <c r="M37" s="31"/>
      <c r="N37" s="31"/>
      <c r="O37" s="31"/>
      <c r="P37" s="31"/>
      <c r="Q37" s="31"/>
      <c r="R37" s="31"/>
      <c r="S37" s="31"/>
      <c r="T37" s="31"/>
      <c r="U37" s="31"/>
      <c r="V37" s="31"/>
      <c r="W37" s="31"/>
      <c r="X37" s="31"/>
      <c r="Y37" s="31"/>
      <c r="Z37" s="31"/>
      <c r="AA37" s="30"/>
      <c r="AB37" s="30"/>
      <c r="AC37" s="30"/>
      <c r="AD37" s="30"/>
      <c r="AE37" s="30"/>
      <c r="AF37" s="30"/>
      <c r="AG37" s="30"/>
      <c r="AH37" s="30"/>
      <c r="AI37" s="77"/>
      <c r="AJ37" s="77" t="s">
        <v>44</v>
      </c>
      <c r="AK37" s="77"/>
      <c r="AL37" s="79">
        <f>AL38-2</f>
        <v>45765</v>
      </c>
      <c r="AM37" s="79">
        <f>AM38-2</f>
        <v>109</v>
      </c>
      <c r="AN37" s="77">
        <v>-2</v>
      </c>
      <c r="AO37" s="77"/>
      <c r="AQ37" s="30"/>
      <c r="AR37" s="30"/>
      <c r="AS37" s="30"/>
      <c r="AT37" s="30"/>
      <c r="AU37" s="30"/>
      <c r="AV37" s="30"/>
      <c r="AW37" s="30"/>
      <c r="AX37" s="30"/>
    </row>
    <row r="38" spans="1:50" ht="16.5" x14ac:dyDescent="0.3">
      <c r="A38" s="54" t="s">
        <v>101</v>
      </c>
      <c r="B38" s="70">
        <f>AL48</f>
        <v>45816</v>
      </c>
      <c r="C38" s="30"/>
      <c r="D38" s="30"/>
      <c r="E38" s="30"/>
      <c r="F38" s="30"/>
      <c r="G38" s="30"/>
      <c r="H38" s="30"/>
      <c r="I38" s="30"/>
      <c r="J38" s="30"/>
      <c r="K38" s="30"/>
      <c r="L38" s="30"/>
      <c r="M38" s="31"/>
      <c r="N38" s="31"/>
      <c r="O38" s="31"/>
      <c r="P38" s="31"/>
      <c r="Q38" s="31"/>
      <c r="R38" s="31"/>
      <c r="S38" s="31"/>
      <c r="T38" s="31"/>
      <c r="U38" s="31"/>
      <c r="V38" s="31"/>
      <c r="W38" s="31"/>
      <c r="X38" s="31"/>
      <c r="Y38" s="31"/>
      <c r="Z38" s="31"/>
      <c r="AA38" s="30"/>
      <c r="AB38" s="30"/>
      <c r="AC38" s="30"/>
      <c r="AD38" s="30"/>
      <c r="AE38" s="30"/>
      <c r="AF38" s="30"/>
      <c r="AG38" s="30"/>
      <c r="AH38" s="30"/>
      <c r="AI38" s="77"/>
      <c r="AJ38" s="78" t="s">
        <v>45</v>
      </c>
      <c r="AK38" s="77"/>
      <c r="AL38" s="79">
        <f>DATE(AK13,AK33,AK32)</f>
        <v>45767</v>
      </c>
      <c r="AM38" s="79">
        <f>DATE(År,AK33,AK32)</f>
        <v>111</v>
      </c>
      <c r="AN38" s="77"/>
      <c r="AO38" s="77"/>
      <c r="AQ38" s="30"/>
      <c r="AR38" s="30"/>
      <c r="AS38" s="30"/>
      <c r="AT38" s="30"/>
      <c r="AU38" s="30"/>
      <c r="AV38" s="30"/>
      <c r="AW38" s="30"/>
      <c r="AX38" s="30"/>
    </row>
    <row r="39" spans="1:50" ht="16.5" x14ac:dyDescent="0.3">
      <c r="A39" s="54" t="s">
        <v>102</v>
      </c>
      <c r="B39" s="70">
        <f>AL49</f>
        <v>45817</v>
      </c>
      <c r="C39" s="30"/>
      <c r="D39" s="30"/>
      <c r="E39" s="30"/>
      <c r="F39" s="30"/>
      <c r="G39" s="30"/>
      <c r="H39" s="30"/>
      <c r="I39" s="30"/>
      <c r="J39" s="30"/>
      <c r="K39" s="30"/>
      <c r="L39" s="30"/>
      <c r="M39" s="31"/>
      <c r="N39" s="31"/>
      <c r="O39" s="31"/>
      <c r="P39" s="31"/>
      <c r="Q39" s="31"/>
      <c r="R39" s="31"/>
      <c r="S39" s="31"/>
      <c r="T39" s="31"/>
      <c r="U39" s="31"/>
      <c r="V39" s="31"/>
      <c r="W39" s="31"/>
      <c r="X39" s="31"/>
      <c r="Y39" s="31"/>
      <c r="Z39" s="31"/>
      <c r="AA39" s="30"/>
      <c r="AB39" s="30"/>
      <c r="AC39" s="30"/>
      <c r="AD39" s="30"/>
      <c r="AE39" s="30"/>
      <c r="AF39" s="30"/>
      <c r="AG39" s="30"/>
      <c r="AH39" s="30"/>
      <c r="AI39" s="77"/>
      <c r="AJ39" s="77" t="s">
        <v>46</v>
      </c>
      <c r="AK39" s="77"/>
      <c r="AL39" s="79">
        <f>AL38+1</f>
        <v>45768</v>
      </c>
      <c r="AM39" s="79">
        <f>AM38+1</f>
        <v>112</v>
      </c>
      <c r="AN39" s="77">
        <v>1</v>
      </c>
      <c r="AO39" s="77"/>
      <c r="AQ39" s="30"/>
      <c r="AR39" s="30"/>
      <c r="AS39" s="30"/>
      <c r="AT39" s="30"/>
      <c r="AU39" s="30"/>
      <c r="AV39" s="30"/>
      <c r="AW39" s="30"/>
      <c r="AX39" s="30"/>
    </row>
    <row r="40" spans="1:50" ht="16.5" x14ac:dyDescent="0.3">
      <c r="A40" s="54" t="s">
        <v>131</v>
      </c>
      <c r="B40" s="70">
        <f>DATE(B5,6,5)</f>
        <v>45813</v>
      </c>
      <c r="C40" s="30"/>
      <c r="D40" s="30"/>
      <c r="E40" s="30"/>
      <c r="F40" s="30"/>
      <c r="G40" s="30"/>
      <c r="H40" s="30"/>
      <c r="I40" s="30"/>
      <c r="J40" s="30"/>
      <c r="K40" s="30"/>
      <c r="L40" s="30"/>
      <c r="M40" s="31"/>
      <c r="N40" s="31"/>
      <c r="O40" s="31"/>
      <c r="P40" s="31"/>
      <c r="Q40" s="31"/>
      <c r="R40" s="31"/>
      <c r="S40" s="31"/>
      <c r="T40" s="31"/>
      <c r="U40" s="31"/>
      <c r="V40" s="31"/>
      <c r="W40" s="31"/>
      <c r="X40" s="31"/>
      <c r="Y40" s="31"/>
      <c r="Z40" s="31"/>
      <c r="AA40" s="30"/>
      <c r="AB40" s="30"/>
      <c r="AC40" s="30"/>
      <c r="AD40" s="30"/>
      <c r="AE40" s="30"/>
      <c r="AF40" s="30"/>
      <c r="AG40" s="30"/>
      <c r="AH40" s="30"/>
      <c r="AI40" s="77"/>
      <c r="AJ40" s="77" t="s">
        <v>71</v>
      </c>
      <c r="AK40" s="77"/>
      <c r="AL40" s="79">
        <f>AL38+7</f>
        <v>45774</v>
      </c>
      <c r="AM40" s="77"/>
      <c r="AN40" s="77"/>
      <c r="AO40" s="77"/>
      <c r="AQ40" s="30"/>
      <c r="AR40" s="30"/>
      <c r="AS40" s="30"/>
      <c r="AT40" s="30"/>
      <c r="AU40" s="30"/>
      <c r="AV40" s="30"/>
      <c r="AW40" s="30"/>
      <c r="AX40" s="30"/>
    </row>
    <row r="41" spans="1:50" ht="16.5" x14ac:dyDescent="0.3">
      <c r="A41" s="54" t="s">
        <v>104</v>
      </c>
      <c r="B41" s="70">
        <f>DATE(B5,12,24)</f>
        <v>46015</v>
      </c>
      <c r="C41" s="30"/>
      <c r="D41" s="30"/>
      <c r="E41" s="30"/>
      <c r="F41" s="30"/>
      <c r="G41" s="30"/>
      <c r="H41" s="30"/>
      <c r="I41" s="30"/>
      <c r="J41" s="30"/>
      <c r="K41" s="30"/>
      <c r="L41" s="30"/>
      <c r="M41" s="31"/>
      <c r="N41" s="31"/>
      <c r="O41" s="31"/>
      <c r="P41" s="31"/>
      <c r="Q41" s="31"/>
      <c r="R41" s="31"/>
      <c r="S41" s="31"/>
      <c r="T41" s="31"/>
      <c r="U41" s="31"/>
      <c r="V41" s="31"/>
      <c r="W41" s="31"/>
      <c r="X41" s="31"/>
      <c r="Y41" s="31"/>
      <c r="Z41" s="31"/>
      <c r="AA41" s="30"/>
      <c r="AB41" s="30"/>
      <c r="AC41" s="30"/>
      <c r="AD41" s="30"/>
      <c r="AE41" s="30"/>
      <c r="AF41" s="30"/>
      <c r="AG41" s="30"/>
      <c r="AH41" s="30"/>
      <c r="AI41" s="77"/>
      <c r="AJ41" s="77" t="s">
        <v>72</v>
      </c>
      <c r="AK41" s="77"/>
      <c r="AL41" s="79">
        <f>AL40+7</f>
        <v>45781</v>
      </c>
      <c r="AM41" s="77"/>
      <c r="AN41" s="77"/>
      <c r="AO41" s="77"/>
      <c r="AQ41" s="30"/>
      <c r="AR41" s="30"/>
      <c r="AS41" s="30"/>
      <c r="AT41" s="30"/>
      <c r="AU41" s="30"/>
      <c r="AV41" s="30"/>
      <c r="AW41" s="30"/>
      <c r="AX41" s="30"/>
    </row>
    <row r="42" spans="1:50" ht="16.5" x14ac:dyDescent="0.3">
      <c r="A42" s="54" t="s">
        <v>105</v>
      </c>
      <c r="B42" s="70">
        <f>B41+1</f>
        <v>46016</v>
      </c>
      <c r="C42" s="30"/>
      <c r="D42" s="30"/>
      <c r="E42" s="30"/>
      <c r="F42" s="30"/>
      <c r="G42" s="30"/>
      <c r="H42" s="30"/>
      <c r="I42" s="30"/>
      <c r="J42" s="30"/>
      <c r="K42" s="30"/>
      <c r="L42" s="30"/>
      <c r="M42" s="31"/>
      <c r="N42" s="31"/>
      <c r="O42" s="31"/>
      <c r="P42" s="31"/>
      <c r="Q42" s="31"/>
      <c r="R42" s="31"/>
      <c r="S42" s="31"/>
      <c r="T42" s="31"/>
      <c r="U42" s="31"/>
      <c r="V42" s="31"/>
      <c r="W42" s="31"/>
      <c r="X42" s="31"/>
      <c r="Y42" s="31"/>
      <c r="Z42" s="31"/>
      <c r="AA42" s="30"/>
      <c r="AB42" s="30"/>
      <c r="AC42" s="30"/>
      <c r="AD42" s="30"/>
      <c r="AE42" s="30"/>
      <c r="AF42" s="30"/>
      <c r="AG42" s="30"/>
      <c r="AH42" s="30"/>
      <c r="AI42" s="77"/>
      <c r="AJ42" s="77" t="s">
        <v>73</v>
      </c>
      <c r="AK42" s="77"/>
      <c r="AL42" s="79">
        <f>AL41+7</f>
        <v>45788</v>
      </c>
      <c r="AM42" s="77"/>
      <c r="AN42" s="77"/>
      <c r="AO42" s="77"/>
      <c r="AQ42" s="30"/>
      <c r="AR42" s="30"/>
      <c r="AS42" s="30"/>
      <c r="AT42" s="30"/>
      <c r="AU42" s="30"/>
      <c r="AV42" s="30"/>
      <c r="AW42" s="30"/>
      <c r="AX42" s="30"/>
    </row>
    <row r="43" spans="1:50" ht="16.5" x14ac:dyDescent="0.3">
      <c r="A43" s="54" t="s">
        <v>106</v>
      </c>
      <c r="B43" s="70">
        <f>B41+2</f>
        <v>46017</v>
      </c>
      <c r="C43" s="30"/>
      <c r="D43" s="30"/>
      <c r="E43" s="51"/>
      <c r="F43" s="30"/>
      <c r="G43" s="30"/>
      <c r="H43" s="30"/>
      <c r="I43" s="30"/>
      <c r="J43" s="30"/>
      <c r="K43" s="30"/>
      <c r="L43" s="30"/>
      <c r="M43" s="31"/>
      <c r="N43" s="31"/>
      <c r="O43" s="31"/>
      <c r="P43" s="31"/>
      <c r="Q43" s="31"/>
      <c r="R43" s="31"/>
      <c r="S43" s="31"/>
      <c r="T43" s="31"/>
      <c r="U43" s="31"/>
      <c r="V43" s="31"/>
      <c r="W43" s="31"/>
      <c r="X43" s="31"/>
      <c r="Y43" s="31"/>
      <c r="Z43" s="31"/>
      <c r="AA43" s="30"/>
      <c r="AB43" s="30"/>
      <c r="AC43" s="30"/>
      <c r="AD43" s="30"/>
      <c r="AE43" s="30"/>
      <c r="AF43" s="30"/>
      <c r="AG43" s="30"/>
      <c r="AH43" s="30"/>
      <c r="AI43" s="77"/>
      <c r="AJ43" s="77" t="s">
        <v>47</v>
      </c>
      <c r="AK43" s="77"/>
      <c r="AL43" s="79">
        <f>AL42+5</f>
        <v>45793</v>
      </c>
      <c r="AM43" s="79">
        <f>AM38+26</f>
        <v>137</v>
      </c>
      <c r="AN43" s="77">
        <v>26</v>
      </c>
      <c r="AO43" s="77"/>
      <c r="AQ43" s="30"/>
      <c r="AR43" s="30"/>
      <c r="AS43" s="30"/>
      <c r="AT43" s="30"/>
      <c r="AU43" s="30"/>
      <c r="AV43" s="30"/>
      <c r="AW43" s="30"/>
      <c r="AX43" s="30"/>
    </row>
    <row r="44" spans="1:50" ht="16.5" x14ac:dyDescent="0.3">
      <c r="A44" s="54" t="s">
        <v>103</v>
      </c>
      <c r="B44" s="70">
        <f>DATE(B5,12,31)</f>
        <v>46022</v>
      </c>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77"/>
      <c r="AJ44" s="77" t="s">
        <v>74</v>
      </c>
      <c r="AK44" s="77"/>
      <c r="AL44" s="79">
        <f>AL42+7</f>
        <v>45795</v>
      </c>
      <c r="AM44" s="77"/>
      <c r="AN44" s="77"/>
      <c r="AO44" s="77"/>
      <c r="AQ44" s="30"/>
      <c r="AR44" s="30"/>
      <c r="AS44" s="30"/>
      <c r="AT44" s="30"/>
      <c r="AU44" s="30"/>
      <c r="AV44" s="30"/>
      <c r="AW44" s="30"/>
      <c r="AX44" s="30"/>
    </row>
    <row r="45" spans="1:50" ht="15.75" x14ac:dyDescent="0.25">
      <c r="A45" s="30"/>
      <c r="B45" s="63"/>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77"/>
      <c r="AJ45" s="77" t="s">
        <v>75</v>
      </c>
      <c r="AK45" s="77"/>
      <c r="AL45" s="79">
        <f>AL44+7</f>
        <v>45802</v>
      </c>
      <c r="AM45" s="77"/>
      <c r="AN45" s="77"/>
      <c r="AO45" s="77"/>
      <c r="AQ45" s="30"/>
      <c r="AR45" s="30"/>
      <c r="AS45" s="30"/>
      <c r="AT45" s="30"/>
      <c r="AU45" s="30"/>
      <c r="AV45" s="30"/>
      <c r="AW45" s="30"/>
      <c r="AX45" s="30"/>
    </row>
    <row r="46" spans="1:50" ht="15.75" x14ac:dyDescent="0.25">
      <c r="A46" s="30"/>
      <c r="B46" s="63"/>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77"/>
      <c r="AJ46" s="77" t="s">
        <v>48</v>
      </c>
      <c r="AK46" s="77"/>
      <c r="AL46" s="79">
        <f>AL45+4</f>
        <v>45806</v>
      </c>
      <c r="AM46" s="79">
        <f>AM38+39</f>
        <v>150</v>
      </c>
      <c r="AN46" s="77">
        <v>39</v>
      </c>
      <c r="AO46" s="77"/>
      <c r="AQ46" s="30"/>
      <c r="AR46" s="30"/>
      <c r="AS46" s="30"/>
      <c r="AT46" s="30"/>
      <c r="AU46" s="30"/>
      <c r="AV46" s="30"/>
      <c r="AW46" s="30"/>
      <c r="AX46" s="30"/>
    </row>
    <row r="47" spans="1:50"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77"/>
      <c r="AJ47" s="77" t="s">
        <v>76</v>
      </c>
      <c r="AK47" s="77"/>
      <c r="AL47" s="79">
        <f>AL45+7</f>
        <v>45809</v>
      </c>
      <c r="AM47" s="77"/>
      <c r="AN47" s="77"/>
      <c r="AO47" s="77"/>
      <c r="AQ47" s="30"/>
      <c r="AR47" s="30"/>
      <c r="AS47" s="30"/>
      <c r="AT47" s="30"/>
      <c r="AU47" s="30"/>
      <c r="AV47" s="30"/>
      <c r="AW47" s="30"/>
      <c r="AX47" s="30"/>
    </row>
    <row r="48" spans="1:50"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77"/>
      <c r="AJ48" s="77" t="s">
        <v>49</v>
      </c>
      <c r="AK48" s="77"/>
      <c r="AL48" s="79">
        <f>AL47+7</f>
        <v>45816</v>
      </c>
      <c r="AM48" s="79">
        <f>AM38+49</f>
        <v>160</v>
      </c>
      <c r="AN48" s="77">
        <v>49</v>
      </c>
      <c r="AO48" s="77"/>
      <c r="AQ48" s="30"/>
      <c r="AR48" s="30"/>
      <c r="AS48" s="30"/>
      <c r="AT48" s="30"/>
      <c r="AU48" s="30"/>
      <c r="AV48" s="30"/>
      <c r="AW48" s="30"/>
      <c r="AX48" s="30"/>
    </row>
    <row r="49" spans="1:50"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77"/>
      <c r="AJ49" s="77" t="s">
        <v>50</v>
      </c>
      <c r="AK49" s="77"/>
      <c r="AL49" s="79">
        <f>AL48+1</f>
        <v>45817</v>
      </c>
      <c r="AM49" s="79">
        <f>AM38+50</f>
        <v>161</v>
      </c>
      <c r="AN49" s="77">
        <v>50</v>
      </c>
      <c r="AO49" s="77"/>
      <c r="AQ49" s="30"/>
      <c r="AR49" s="30"/>
      <c r="AS49" s="30"/>
      <c r="AT49" s="30"/>
      <c r="AU49" s="30"/>
      <c r="AV49" s="30"/>
      <c r="AW49" s="30"/>
      <c r="AX49" s="30"/>
    </row>
    <row r="50" spans="1:50" x14ac:dyDescent="0.25">
      <c r="G50" s="2"/>
    </row>
    <row r="55" spans="1:50" ht="15.75" x14ac:dyDescent="0.25">
      <c r="A55" s="30"/>
      <c r="F55" s="30"/>
      <c r="G55" s="30"/>
      <c r="H55" s="30"/>
      <c r="I55" s="30"/>
      <c r="J55" s="30"/>
    </row>
    <row r="56" spans="1:50" ht="15.75" x14ac:dyDescent="0.25">
      <c r="A56" s="30"/>
      <c r="F56" s="33"/>
      <c r="G56" s="30"/>
      <c r="H56" s="30"/>
      <c r="I56" s="30"/>
      <c r="J56" s="30"/>
    </row>
    <row r="57" spans="1:50" ht="15.75" x14ac:dyDescent="0.25">
      <c r="A57" s="30"/>
      <c r="B57" s="30"/>
      <c r="C57" s="30"/>
      <c r="D57" s="30"/>
      <c r="E57" s="30"/>
      <c r="F57" s="30"/>
      <c r="G57" s="30"/>
      <c r="H57" s="30"/>
      <c r="I57" s="30"/>
      <c r="J57" s="30"/>
    </row>
    <row r="60" spans="1:50" ht="15.75" x14ac:dyDescent="0.25">
      <c r="I60" s="30"/>
    </row>
    <row r="61" spans="1:50" ht="15.75" x14ac:dyDescent="0.25">
      <c r="I61" s="30"/>
    </row>
    <row r="62" spans="1:50" ht="15.75" x14ac:dyDescent="0.25">
      <c r="I62" s="30"/>
    </row>
  </sheetData>
  <sheetProtection algorithmName="SHA-512" hashValue="+faoJGbKw/vFMHYRe8zMmJcc6lywcSGyqbcqwquRdtmJKiTJSdOi8pOdYoQur7m1Wi5xQl0qHm0fdVkjVz5iGg==" saltValue="kTe3bdJtTn3gZ9V4VOFayw==" spinCount="100000" sheet="1" objects="1" scenarios="1"/>
  <mergeCells count="3">
    <mergeCell ref="AI12:AL12"/>
    <mergeCell ref="AH7:AM7"/>
    <mergeCell ref="AQ3:AT3"/>
  </mergeCells>
  <phoneticPr fontId="1" type="noConversion"/>
  <conditionalFormatting sqref="AR5:AS7">
    <cfRule type="expression" dxfId="52" priority="1">
      <formula>OR($F5="N")</formula>
    </cfRule>
    <cfRule type="expression" dxfId="51" priority="2">
      <formula>$F5="R"</formula>
    </cfRule>
  </conditionalFormatting>
  <conditionalFormatting sqref="AT8">
    <cfRule type="expression" dxfId="50" priority="5">
      <formula>OR($F9="N")</formula>
    </cfRule>
    <cfRule type="expression" dxfId="49" priority="6">
      <formula>$F9="R"</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E831E-36AE-4774-928C-411DC8DF6003}">
  <dimension ref="A1:AR77"/>
  <sheetViews>
    <sheetView zoomScale="70" zoomScaleNormal="70" workbookViewId="0">
      <selection activeCell="C1" sqref="C1"/>
    </sheetView>
  </sheetViews>
  <sheetFormatPr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6" width="7.5703125" hidden="1" customWidth="1" outlineLevel="1"/>
    <col min="17" max="17" width="2"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9.140625" collapsed="1"/>
  </cols>
  <sheetData>
    <row r="1" spans="1:44"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51"/>
      <c r="U1" s="51"/>
      <c r="V1" s="51"/>
      <c r="W1" s="30"/>
      <c r="X1" s="30"/>
      <c r="Y1" s="30"/>
      <c r="Z1" s="30"/>
      <c r="AA1" s="30"/>
      <c r="AB1" s="30"/>
      <c r="AC1" s="30"/>
      <c r="AD1" s="30"/>
      <c r="AE1" s="30"/>
      <c r="AF1" s="30"/>
      <c r="AG1" s="30"/>
      <c r="AH1" s="30"/>
      <c r="AI1" s="30"/>
      <c r="AJ1" s="30"/>
      <c r="AK1" s="30"/>
      <c r="AL1" s="30"/>
      <c r="AM1" s="30"/>
      <c r="AN1" s="30"/>
      <c r="AO1" s="30"/>
      <c r="AP1" s="30"/>
      <c r="AQ1" s="30"/>
      <c r="AR1" s="30"/>
    </row>
    <row r="2" spans="1:44" ht="16.5" x14ac:dyDescent="0.3">
      <c r="A2" s="44" t="s">
        <v>92</v>
      </c>
      <c r="B2" s="71" t="str">
        <f>Masterdata!$D$27</f>
        <v>00:00</v>
      </c>
      <c r="C2" s="30"/>
      <c r="D2" s="30"/>
      <c r="E2" s="30"/>
      <c r="F2" s="30"/>
      <c r="G2" s="30"/>
      <c r="H2" s="30"/>
      <c r="I2" s="30"/>
      <c r="J2" s="30"/>
      <c r="K2" s="30"/>
      <c r="L2" s="90"/>
      <c r="R2" s="106"/>
      <c r="S2" s="107"/>
      <c r="T2" s="51"/>
      <c r="U2" s="51"/>
      <c r="V2" s="51"/>
      <c r="W2" s="30"/>
      <c r="X2" s="30"/>
      <c r="Y2" s="30"/>
      <c r="Z2" s="30"/>
      <c r="AA2" s="30"/>
      <c r="AB2" s="30"/>
      <c r="AC2" s="30"/>
      <c r="AD2" s="30"/>
      <c r="AE2" s="30"/>
      <c r="AF2" s="30"/>
      <c r="AG2" s="30"/>
      <c r="AH2" s="30"/>
      <c r="AI2" s="30"/>
      <c r="AJ2" s="30"/>
      <c r="AK2" s="30"/>
      <c r="AL2" s="30"/>
      <c r="AM2" s="30"/>
      <c r="AN2" s="30"/>
      <c r="AO2" s="30"/>
      <c r="AP2" s="30"/>
      <c r="AQ2" s="30"/>
      <c r="AR2" s="30"/>
    </row>
    <row r="3" spans="1:44" ht="31.5" customHeight="1" x14ac:dyDescent="0.25">
      <c r="A3" s="47" t="s">
        <v>109</v>
      </c>
      <c r="B3" s="71" t="str">
        <f>IF(Q39&lt;0,"-"&amp;TEXT(ABS(Q39/24),"[tt]:mm"),TEXT(Q39/24,"[tt]:mm"))</f>
        <v>00:00</v>
      </c>
      <c r="C3" s="30"/>
      <c r="D3" s="30"/>
      <c r="E3" s="30"/>
      <c r="F3" s="30"/>
      <c r="G3" s="30"/>
      <c r="H3" s="30"/>
      <c r="I3" s="30"/>
      <c r="J3" s="30"/>
      <c r="K3" s="30"/>
      <c r="L3" s="91" t="s">
        <v>18</v>
      </c>
      <c r="R3" s="108" t="s">
        <v>130</v>
      </c>
      <c r="S3" s="109"/>
      <c r="T3" s="52"/>
      <c r="U3" s="52"/>
      <c r="V3" s="52"/>
      <c r="W3" s="30"/>
      <c r="X3" s="30"/>
      <c r="Y3" s="30"/>
      <c r="Z3" s="30"/>
      <c r="AA3" s="30"/>
      <c r="AB3" s="30"/>
      <c r="AC3" s="30"/>
      <c r="AD3" s="30"/>
      <c r="AE3" s="30"/>
      <c r="AF3" s="30"/>
      <c r="AG3" s="30"/>
      <c r="AH3" s="30"/>
      <c r="AI3" s="30"/>
      <c r="AJ3" s="30"/>
      <c r="AK3" s="30"/>
      <c r="AL3" s="30"/>
      <c r="AM3" s="30"/>
      <c r="AN3" s="30"/>
      <c r="AO3" s="30"/>
      <c r="AP3" s="30"/>
      <c r="AQ3" s="30"/>
      <c r="AR3" s="30"/>
    </row>
    <row r="4" spans="1:44" ht="54.95" customHeight="1" x14ac:dyDescent="0.25">
      <c r="A4" s="17" t="s">
        <v>110</v>
      </c>
      <c r="B4" s="48">
        <f>Masterdata!$B$5</f>
        <v>2025</v>
      </c>
      <c r="C4" s="30"/>
      <c r="D4" s="30"/>
      <c r="E4" s="30"/>
      <c r="F4" s="30"/>
      <c r="G4" s="30"/>
      <c r="H4" s="30"/>
      <c r="I4" s="30"/>
      <c r="J4" s="30"/>
      <c r="K4" s="30"/>
      <c r="L4" s="92" t="s">
        <v>19</v>
      </c>
      <c r="R4" s="110" t="s">
        <v>132</v>
      </c>
      <c r="S4" s="111"/>
      <c r="T4" s="53"/>
      <c r="U4" s="53"/>
      <c r="V4" s="53"/>
      <c r="W4" s="30"/>
      <c r="X4" s="30"/>
      <c r="Y4" s="30"/>
      <c r="Z4" s="30"/>
      <c r="AA4" s="30"/>
      <c r="AB4" s="30"/>
      <c r="AC4" s="30"/>
      <c r="AD4" s="30"/>
      <c r="AE4" s="30"/>
      <c r="AF4" s="30"/>
      <c r="AG4" s="30"/>
      <c r="AH4" s="30"/>
      <c r="AI4" s="30"/>
      <c r="AJ4" s="30"/>
      <c r="AK4" s="30"/>
      <c r="AL4" s="30"/>
      <c r="AM4" s="30"/>
      <c r="AN4" s="30"/>
      <c r="AO4" s="30"/>
      <c r="AP4" s="30"/>
      <c r="AQ4" s="30"/>
      <c r="AR4" s="30"/>
    </row>
    <row r="5" spans="1:44" ht="16.5" thickBot="1" x14ac:dyDescent="0.3">
      <c r="A5" s="13" t="s">
        <v>89</v>
      </c>
      <c r="B5" s="18" t="s">
        <v>116</v>
      </c>
      <c r="C5" s="30"/>
      <c r="D5" s="30"/>
      <c r="E5" s="30"/>
      <c r="F5" s="30"/>
      <c r="G5" s="30"/>
      <c r="H5" s="30"/>
      <c r="I5" s="30"/>
      <c r="J5" s="30"/>
      <c r="K5" s="30"/>
      <c r="L5" s="93" t="s">
        <v>118</v>
      </c>
      <c r="M5" s="94"/>
      <c r="N5" s="94"/>
      <c r="O5" s="94"/>
      <c r="P5" s="94"/>
      <c r="Q5" s="94"/>
      <c r="R5" s="112" t="s">
        <v>119</v>
      </c>
      <c r="S5" s="113"/>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6.5" thickBot="1"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Q7" s="30"/>
      <c r="R7" s="102" t="s">
        <v>121</v>
      </c>
      <c r="S7" s="103"/>
      <c r="T7" s="30"/>
      <c r="U7" s="30"/>
      <c r="V7" s="30" t="s">
        <v>27</v>
      </c>
      <c r="W7" s="30">
        <v>5</v>
      </c>
      <c r="X7" s="30"/>
      <c r="Y7" s="30"/>
      <c r="Z7" s="30"/>
      <c r="AA7" s="30"/>
      <c r="AB7" s="30"/>
      <c r="AC7" s="30"/>
      <c r="AD7" s="30"/>
      <c r="AE7" s="30"/>
      <c r="AF7" s="30"/>
      <c r="AG7" s="30"/>
      <c r="AH7" s="30"/>
      <c r="AI7" s="30"/>
      <c r="AJ7" s="30"/>
      <c r="AK7" s="30"/>
      <c r="AL7" s="30"/>
      <c r="AM7" s="30"/>
      <c r="AN7" s="30"/>
      <c r="AO7" s="30"/>
      <c r="AP7" s="30"/>
      <c r="AQ7" s="30"/>
      <c r="AR7" s="30"/>
    </row>
    <row r="8" spans="1:44" ht="15.75" x14ac:dyDescent="0.25">
      <c r="A8" s="7">
        <f>WEEKNUM($B8,21)</f>
        <v>1</v>
      </c>
      <c r="B8" s="8">
        <f>DATE(Masterdata!$B$5,1,1)</f>
        <v>45658</v>
      </c>
      <c r="C8" s="9" t="str" cm="1">
        <f t="array" ref="C8">_xlfn.XLOOKUP(E8,Masterdata!$B$31:$B$44,Masterdata!$A$31:$A$44,_xlfn.SWITCH(WEEKDAY($D8, 2), 1, "Monday", 2, "Tuesday", 3, "Wednesday", 4, "Thursday", 5, "Friday", 6, "Saturday", 7, "Sunday"),0)</f>
        <v>New Year's Day</v>
      </c>
      <c r="D8" s="30">
        <f t="shared" ref="D8:D38" si="0">WEEKDAY($B8, 2)+1</f>
        <v>4</v>
      </c>
      <c r="E8" s="72">
        <f>$B8</f>
        <v>45658</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73" t="str">
        <f>LEFT(L8,1)</f>
        <v>0</v>
      </c>
      <c r="N8" s="25" t="str">
        <f>IF($M8="-",LEFT($L8,3),LEFT($L8,2))</f>
        <v>0:</v>
      </c>
      <c r="O8" s="56" t="str">
        <f>IF($M8="-",MID($L8,5,2),MID($L8,4,2))</f>
        <v>0</v>
      </c>
      <c r="P8" s="57">
        <f>O8/60</f>
        <v>0</v>
      </c>
      <c r="Q8" s="31">
        <f>IF(M8="-",N8-P8,N8+P8)</f>
        <v>0</v>
      </c>
      <c r="R8" s="101"/>
      <c r="S8" s="101"/>
      <c r="T8" s="30"/>
      <c r="U8" s="30"/>
      <c r="V8" s="30" t="s">
        <v>28</v>
      </c>
      <c r="W8" s="74">
        <f>B1/W7</f>
        <v>7.4</v>
      </c>
      <c r="X8" s="30">
        <v>0</v>
      </c>
      <c r="Y8" s="75"/>
      <c r="Z8" s="30"/>
      <c r="AA8" s="30"/>
      <c r="AB8" s="30"/>
      <c r="AC8" s="30"/>
      <c r="AD8" s="30"/>
      <c r="AE8" s="30"/>
      <c r="AF8" s="30"/>
      <c r="AG8" s="30"/>
      <c r="AH8" s="30"/>
      <c r="AI8" s="30"/>
      <c r="AJ8" s="30"/>
      <c r="AK8" s="30"/>
      <c r="AL8" s="30"/>
      <c r="AM8" s="30"/>
      <c r="AN8" s="30"/>
      <c r="AO8" s="30"/>
      <c r="AP8" s="30"/>
      <c r="AQ8" s="30"/>
      <c r="AR8" s="30"/>
    </row>
    <row r="9" spans="1:44" ht="15.75" x14ac:dyDescent="0.25">
      <c r="A9" s="7">
        <f t="shared" ref="A9:A38" si="1">WEEKNUM($B9,21)</f>
        <v>1</v>
      </c>
      <c r="B9" s="8">
        <f>B8+1</f>
        <v>45659</v>
      </c>
      <c r="C9" s="9" t="str" cm="1">
        <f t="array" ref="C9">_xlfn.XLOOKUP(E9,Masterdata!$B$31:$B$44,Masterdata!$A$31:$A$44,_xlfn.SWITCH(WEEKDAY($D9, 2), 1, "Monday", 2, "Tuesday", 3, "Wednesday", 4, "Thursday", 5, "Friday", 6, "Saturday", 7, "Sunday"),0)</f>
        <v>Thursday</v>
      </c>
      <c r="D9" s="30">
        <f t="shared" si="0"/>
        <v>5</v>
      </c>
      <c r="E9" s="72">
        <f t="shared" ref="E9:E38" si="2">$B9</f>
        <v>45659</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0.30833333333333335</v>
      </c>
      <c r="H9" s="11">
        <v>0</v>
      </c>
      <c r="I9" s="11">
        <v>0</v>
      </c>
      <c r="J9" s="11">
        <v>0</v>
      </c>
      <c r="K9" s="27" t="str">
        <f t="shared" ref="K9:K38"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73" t="str">
        <f t="shared" ref="M9:M38" si="4">LEFT(L9,1)</f>
        <v>0</v>
      </c>
      <c r="N9" s="25" t="str">
        <f t="shared" ref="N9:N38" si="5">IF($M9="-",LEFT($L9,3),LEFT($L9,2))</f>
        <v>0:</v>
      </c>
      <c r="O9" s="56" t="str">
        <f t="shared" ref="O9:O38" si="6">IF($M9="-",MID($L9,5,2),MID($L9,4,2))</f>
        <v>0</v>
      </c>
      <c r="P9" s="57">
        <f t="shared" ref="P9:P38" si="7">O9/60</f>
        <v>0</v>
      </c>
      <c r="Q9" s="31">
        <f t="shared" ref="Q9:Q38" si="8">IF(M9="-",N9-P9,N9+P9)</f>
        <v>0</v>
      </c>
      <c r="R9" s="101"/>
      <c r="S9" s="101"/>
      <c r="T9" s="30"/>
      <c r="U9" s="30"/>
      <c r="V9" s="30" t="s">
        <v>29</v>
      </c>
      <c r="W9" s="75">
        <f>W8/24</f>
        <v>0.30833333333333335</v>
      </c>
      <c r="X9" s="30"/>
      <c r="Y9" s="30"/>
      <c r="Z9" s="30"/>
      <c r="AA9" s="30"/>
      <c r="AB9" s="30"/>
      <c r="AC9" s="30"/>
      <c r="AD9" s="30"/>
      <c r="AE9" s="30"/>
      <c r="AF9" s="30"/>
      <c r="AG9" s="30"/>
      <c r="AH9" s="30"/>
      <c r="AI9" s="30"/>
      <c r="AJ9" s="30"/>
      <c r="AK9" s="30"/>
      <c r="AL9" s="30"/>
      <c r="AM9" s="30"/>
      <c r="AN9" s="30"/>
      <c r="AO9" s="30"/>
      <c r="AP9" s="30"/>
      <c r="AQ9" s="30"/>
      <c r="AR9" s="30"/>
    </row>
    <row r="10" spans="1:44" ht="15.75" x14ac:dyDescent="0.25">
      <c r="A10" s="7">
        <f t="shared" si="1"/>
        <v>1</v>
      </c>
      <c r="B10" s="8">
        <f t="shared" ref="B10:B38" si="9">B9+1</f>
        <v>45660</v>
      </c>
      <c r="C10" s="9" t="str" cm="1">
        <f t="array" ref="C10">_xlfn.XLOOKUP(E10,Masterdata!$B$31:$B$44,Masterdata!$A$31:$A$44,_xlfn.SWITCH(WEEKDAY($D10, 2), 1, "Monday", 2, "Tuesday", 3, "Wednesday", 4, "Thursday", 5, "Friday", 6, "Saturday", 7, "Sunday"),0)</f>
        <v>Friday</v>
      </c>
      <c r="D10" s="30">
        <f t="shared" si="0"/>
        <v>6</v>
      </c>
      <c r="E10" s="72">
        <f t="shared" si="2"/>
        <v>45660</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0.30833333333333335</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73" t="str">
        <f t="shared" si="4"/>
        <v>0</v>
      </c>
      <c r="N10" s="25" t="str">
        <f t="shared" si="5"/>
        <v>0:</v>
      </c>
      <c r="O10" s="56" t="str">
        <f t="shared" si="6"/>
        <v>0</v>
      </c>
      <c r="P10" s="57">
        <f t="shared" si="7"/>
        <v>0</v>
      </c>
      <c r="Q10" s="31">
        <f t="shared" si="8"/>
        <v>0</v>
      </c>
      <c r="R10" s="101"/>
      <c r="S10" s="101"/>
      <c r="T10" s="30" t="s">
        <v>18</v>
      </c>
      <c r="U10" s="30" t="s">
        <v>30</v>
      </c>
      <c r="V10" s="30" t="s">
        <v>31</v>
      </c>
      <c r="W10" s="31">
        <f>(B1/37)*160.33</f>
        <v>160.33000000000001</v>
      </c>
      <c r="X10" s="30"/>
      <c r="Y10" s="30"/>
      <c r="Z10" s="30"/>
      <c r="AA10" s="30"/>
      <c r="AB10" s="30"/>
      <c r="AC10" s="30"/>
      <c r="AD10" s="30"/>
      <c r="AE10" s="30"/>
      <c r="AF10" s="30"/>
      <c r="AG10" s="30"/>
      <c r="AH10" s="30"/>
      <c r="AI10" s="30"/>
      <c r="AJ10" s="30"/>
      <c r="AK10" s="30"/>
      <c r="AL10" s="30"/>
      <c r="AM10" s="30"/>
      <c r="AN10" s="30"/>
      <c r="AO10" s="30"/>
      <c r="AP10" s="30"/>
      <c r="AQ10" s="30"/>
      <c r="AR10" s="30"/>
    </row>
    <row r="11" spans="1:44" ht="15.75" x14ac:dyDescent="0.25">
      <c r="A11" s="7">
        <f t="shared" si="1"/>
        <v>1</v>
      </c>
      <c r="B11" s="8">
        <f t="shared" si="9"/>
        <v>45661</v>
      </c>
      <c r="C11" s="9" t="str" cm="1">
        <f t="array" ref="C11">_xlfn.XLOOKUP(E11,Masterdata!$B$31:$B$44,Masterdata!$A$31:$A$44,_xlfn.SWITCH(WEEKDAY($D11, 2), 1, "Monday", 2, "Tuesday", 3, "Wednesday", 4, "Thursday", 5, "Friday", 6, "Saturday", 7, "Sunday"),0)</f>
        <v>Saturday</v>
      </c>
      <c r="D11" s="30">
        <f t="shared" si="0"/>
        <v>7</v>
      </c>
      <c r="E11" s="72">
        <f t="shared" si="2"/>
        <v>45661</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73" t="str">
        <f t="shared" si="4"/>
        <v>0</v>
      </c>
      <c r="N11" s="25" t="str">
        <f t="shared" si="5"/>
        <v>0:</v>
      </c>
      <c r="O11" s="56" t="str">
        <f t="shared" si="6"/>
        <v>0</v>
      </c>
      <c r="P11" s="57">
        <f t="shared" si="7"/>
        <v>0</v>
      </c>
      <c r="Q11" s="31">
        <f t="shared" si="8"/>
        <v>0</v>
      </c>
      <c r="R11" s="101"/>
      <c r="S11" s="10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75" x14ac:dyDescent="0.25">
      <c r="A12" s="7">
        <f t="shared" si="1"/>
        <v>1</v>
      </c>
      <c r="B12" s="8">
        <f t="shared" si="9"/>
        <v>45662</v>
      </c>
      <c r="C12" s="9" t="str" cm="1">
        <f t="array" ref="C12">_xlfn.XLOOKUP(E12,Masterdata!$B$31:$B$44,Masterdata!$A$31:$A$44,_xlfn.SWITCH(WEEKDAY($D12, 2), 1, "Monday", 2, "Tuesday", 3, "Wednesday", 4, "Thursday", 5, "Friday", 6, "Saturday", 7, "Sunday"),0)</f>
        <v>Sunday</v>
      </c>
      <c r="D12" s="30">
        <f t="shared" si="0"/>
        <v>8</v>
      </c>
      <c r="E12" s="72">
        <f t="shared" si="2"/>
        <v>45662</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73" t="str">
        <f t="shared" si="4"/>
        <v>0</v>
      </c>
      <c r="N12" s="25" t="str">
        <f t="shared" si="5"/>
        <v>0:</v>
      </c>
      <c r="O12" s="56" t="str">
        <f t="shared" si="6"/>
        <v>0</v>
      </c>
      <c r="P12" s="57">
        <f t="shared" si="7"/>
        <v>0</v>
      </c>
      <c r="Q12" s="31">
        <f t="shared" si="8"/>
        <v>0</v>
      </c>
      <c r="R12" s="101"/>
      <c r="S12" s="101"/>
      <c r="T12" s="30"/>
      <c r="U12" s="30"/>
      <c r="V12" s="30"/>
      <c r="W12" s="31"/>
      <c r="X12" s="30"/>
      <c r="Y12" s="30"/>
      <c r="Z12" s="30"/>
      <c r="AA12" s="30"/>
      <c r="AB12" s="30"/>
      <c r="AC12" s="30"/>
      <c r="AD12" s="30"/>
      <c r="AE12" s="30"/>
      <c r="AF12" s="30"/>
      <c r="AG12" s="30"/>
      <c r="AH12" s="30"/>
      <c r="AI12" s="30"/>
      <c r="AJ12" s="30"/>
      <c r="AK12" s="30"/>
      <c r="AL12" s="30"/>
      <c r="AM12" s="30"/>
      <c r="AN12" s="30"/>
      <c r="AO12" s="30"/>
      <c r="AP12" s="30"/>
      <c r="AQ12" s="30"/>
      <c r="AR12" s="30"/>
    </row>
    <row r="13" spans="1:44" ht="15.75" x14ac:dyDescent="0.25">
      <c r="A13" s="7">
        <f t="shared" si="1"/>
        <v>2</v>
      </c>
      <c r="B13" s="8">
        <f t="shared" si="9"/>
        <v>45663</v>
      </c>
      <c r="C13" s="9" t="str" cm="1">
        <f t="array" ref="C13">_xlfn.XLOOKUP(E13,Masterdata!$B$31:$B$44,Masterdata!$A$31:$A$44,_xlfn.SWITCH(WEEKDAY($D13, 2), 1, "Monday", 2, "Tuesday", 3, "Wednesday", 4, "Thursday", 5, "Friday", 6, "Saturday", 7, "Sunday"),0)</f>
        <v>Monday</v>
      </c>
      <c r="D13" s="30">
        <f t="shared" si="0"/>
        <v>2</v>
      </c>
      <c r="E13" s="72">
        <f t="shared" si="2"/>
        <v>45663</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0.30833333333333335</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73" t="str">
        <f t="shared" si="4"/>
        <v>0</v>
      </c>
      <c r="N13" s="25" t="str">
        <f t="shared" si="5"/>
        <v>0:</v>
      </c>
      <c r="O13" s="56" t="str">
        <f t="shared" si="6"/>
        <v>0</v>
      </c>
      <c r="P13" s="57">
        <f t="shared" si="7"/>
        <v>0</v>
      </c>
      <c r="Q13" s="31">
        <f t="shared" si="8"/>
        <v>0</v>
      </c>
      <c r="R13" s="100"/>
      <c r="S13" s="100"/>
      <c r="T13" s="30"/>
      <c r="U13" s="30"/>
      <c r="V13" s="30"/>
      <c r="W13" s="76"/>
      <c r="X13" s="30"/>
      <c r="Y13" s="30"/>
      <c r="Z13" s="30"/>
      <c r="AA13" s="30"/>
      <c r="AB13" s="30"/>
      <c r="AC13" s="30"/>
      <c r="AD13" s="30"/>
      <c r="AE13" s="30"/>
      <c r="AF13" s="30"/>
      <c r="AG13" s="30"/>
      <c r="AH13" s="30"/>
      <c r="AI13" s="30"/>
      <c r="AJ13" s="30"/>
      <c r="AK13" s="30"/>
      <c r="AL13" s="30"/>
      <c r="AM13" s="30"/>
      <c r="AN13" s="30"/>
      <c r="AO13" s="30"/>
      <c r="AP13" s="30"/>
      <c r="AQ13" s="30"/>
      <c r="AR13" s="30"/>
    </row>
    <row r="14" spans="1:44" ht="15.75" x14ac:dyDescent="0.25">
      <c r="A14" s="7">
        <f t="shared" si="1"/>
        <v>2</v>
      </c>
      <c r="B14" s="8">
        <f t="shared" si="9"/>
        <v>45664</v>
      </c>
      <c r="C14" s="9" t="str" cm="1">
        <f t="array" ref="C14">_xlfn.XLOOKUP(E14,Masterdata!$B$31:$B$44,Masterdata!$A$31:$A$44,_xlfn.SWITCH(WEEKDAY($D14, 2), 1, "Monday", 2, "Tuesday", 3, "Wednesday", 4, "Thursday", 5, "Friday", 6, "Saturday", 7, "Sunday"),0)</f>
        <v>Tuesday</v>
      </c>
      <c r="D14" s="30">
        <f t="shared" si="0"/>
        <v>3</v>
      </c>
      <c r="E14" s="72">
        <f t="shared" si="2"/>
        <v>45664</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0.30833333333333335</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73" t="str">
        <f t="shared" si="4"/>
        <v>0</v>
      </c>
      <c r="N14" s="25" t="str">
        <f t="shared" si="5"/>
        <v>0:</v>
      </c>
      <c r="O14" s="56" t="str">
        <f t="shared" si="6"/>
        <v>0</v>
      </c>
      <c r="P14" s="57">
        <f>O14/60</f>
        <v>0</v>
      </c>
      <c r="Q14" s="31">
        <f>IF(M14="-",N14-P14,N14+P14)</f>
        <v>0</v>
      </c>
      <c r="R14" s="100"/>
      <c r="S14" s="10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75" x14ac:dyDescent="0.25">
      <c r="A15" s="7">
        <f t="shared" si="1"/>
        <v>2</v>
      </c>
      <c r="B15" s="8">
        <f t="shared" si="9"/>
        <v>45665</v>
      </c>
      <c r="C15" s="9" t="str" cm="1">
        <f t="array" ref="C15">_xlfn.XLOOKUP(E15,Masterdata!$B$31:$B$44,Masterdata!$A$31:$A$44,_xlfn.SWITCH(WEEKDAY($D15, 2), 1, "Monday", 2, "Tuesday", 3, "Wednesday", 4, "Thursday", 5, "Friday", 6, "Saturday", 7, "Sunday"),0)</f>
        <v>Wednesday</v>
      </c>
      <c r="D15" s="30">
        <f t="shared" si="0"/>
        <v>4</v>
      </c>
      <c r="E15" s="72">
        <f t="shared" si="2"/>
        <v>45665</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0.30833333333333335</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73" t="str">
        <f t="shared" si="4"/>
        <v>0</v>
      </c>
      <c r="N15" s="25" t="str">
        <f t="shared" si="5"/>
        <v>0:</v>
      </c>
      <c r="O15" s="56" t="str">
        <f t="shared" si="6"/>
        <v>0</v>
      </c>
      <c r="P15" s="57">
        <f t="shared" si="7"/>
        <v>0</v>
      </c>
      <c r="Q15" s="31">
        <f t="shared" si="8"/>
        <v>0</v>
      </c>
      <c r="R15" s="100"/>
      <c r="S15" s="100"/>
      <c r="T15" s="30" t="s">
        <v>32</v>
      </c>
      <c r="U15" s="30" t="s">
        <v>33</v>
      </c>
      <c r="V15" s="30" t="s">
        <v>34</v>
      </c>
      <c r="W15" s="31">
        <f>W10-W13</f>
        <v>160.33000000000001</v>
      </c>
      <c r="X15" s="30"/>
      <c r="Y15" s="30"/>
      <c r="Z15" s="30"/>
      <c r="AA15" s="30"/>
      <c r="AB15" s="30"/>
      <c r="AC15" s="30"/>
      <c r="AD15" s="30"/>
      <c r="AE15" s="30"/>
      <c r="AF15" s="30"/>
      <c r="AG15" s="30"/>
      <c r="AH15" s="30"/>
      <c r="AI15" s="30"/>
      <c r="AJ15" s="30"/>
      <c r="AK15" s="30"/>
      <c r="AL15" s="30"/>
      <c r="AM15" s="30"/>
      <c r="AN15" s="30"/>
      <c r="AO15" s="30"/>
      <c r="AP15" s="30"/>
      <c r="AQ15" s="30"/>
      <c r="AR15" s="30"/>
    </row>
    <row r="16" spans="1:44" ht="15.75" x14ac:dyDescent="0.25">
      <c r="A16" s="7">
        <f t="shared" si="1"/>
        <v>2</v>
      </c>
      <c r="B16" s="8">
        <f t="shared" si="9"/>
        <v>45666</v>
      </c>
      <c r="C16" s="9" t="str" cm="1">
        <f t="array" ref="C16">_xlfn.XLOOKUP(E16,Masterdata!$B$31:$B$44,Masterdata!$A$31:$A$44,_xlfn.SWITCH(WEEKDAY($D16, 2), 1, "Monday", 2, "Tuesday", 3, "Wednesday", 4, "Thursday", 5, "Friday", 6, "Saturday", 7, "Sunday"),0)</f>
        <v>Thursday</v>
      </c>
      <c r="D16" s="30">
        <f t="shared" si="0"/>
        <v>5</v>
      </c>
      <c r="E16" s="72">
        <f t="shared" si="2"/>
        <v>45666</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0.30833333333333335</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73" t="str">
        <f t="shared" si="4"/>
        <v>0</v>
      </c>
      <c r="N16" s="25" t="str">
        <f t="shared" si="5"/>
        <v>0:</v>
      </c>
      <c r="O16" s="56" t="str">
        <f t="shared" si="6"/>
        <v>0</v>
      </c>
      <c r="P16" s="57">
        <f t="shared" si="7"/>
        <v>0</v>
      </c>
      <c r="Q16" s="31">
        <f t="shared" si="8"/>
        <v>0</v>
      </c>
      <c r="R16" s="100"/>
      <c r="S16" s="100"/>
      <c r="T16" s="30" t="s">
        <v>35</v>
      </c>
      <c r="U16" s="30" t="s">
        <v>36</v>
      </c>
      <c r="V16" s="30" t="s">
        <v>37</v>
      </c>
      <c r="W16" s="31" t="e">
        <f>SUM(#REF!)</f>
        <v>#REF!</v>
      </c>
      <c r="X16" s="30"/>
      <c r="Y16" s="30"/>
      <c r="Z16" s="30"/>
      <c r="AA16" s="30"/>
      <c r="AB16" s="30"/>
      <c r="AC16" s="30"/>
      <c r="AD16" s="30"/>
      <c r="AE16" s="30"/>
      <c r="AF16" s="30"/>
      <c r="AG16" s="30"/>
      <c r="AH16" s="30"/>
      <c r="AI16" s="30"/>
      <c r="AJ16" s="30"/>
      <c r="AK16" s="30"/>
      <c r="AL16" s="30"/>
      <c r="AM16" s="30"/>
      <c r="AN16" s="30"/>
      <c r="AO16" s="30"/>
      <c r="AP16" s="30"/>
      <c r="AQ16" s="30"/>
      <c r="AR16" s="30"/>
    </row>
    <row r="17" spans="1:44" ht="15.75" x14ac:dyDescent="0.25">
      <c r="A17" s="7">
        <f t="shared" si="1"/>
        <v>2</v>
      </c>
      <c r="B17" s="8">
        <f t="shared" si="9"/>
        <v>45667</v>
      </c>
      <c r="C17" s="9" t="str" cm="1">
        <f t="array" ref="C17">_xlfn.XLOOKUP(E17,Masterdata!$B$31:$B$44,Masterdata!$A$31:$A$44,_xlfn.SWITCH(WEEKDAY($D17, 2), 1, "Monday", 2, "Tuesday", 3, "Wednesday", 4, "Thursday", 5, "Friday", 6, "Saturday", 7, "Sunday"),0)</f>
        <v>Friday</v>
      </c>
      <c r="D17" s="30">
        <f t="shared" si="0"/>
        <v>6</v>
      </c>
      <c r="E17" s="72">
        <f t="shared" si="2"/>
        <v>45667</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0.30833333333333335</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73" t="str">
        <f t="shared" si="4"/>
        <v>0</v>
      </c>
      <c r="N17" s="25" t="str">
        <f t="shared" si="5"/>
        <v>0:</v>
      </c>
      <c r="O17" s="56" t="str">
        <f t="shared" si="6"/>
        <v>0</v>
      </c>
      <c r="P17" s="57">
        <f t="shared" si="7"/>
        <v>0</v>
      </c>
      <c r="Q17" s="31">
        <f t="shared" si="8"/>
        <v>0</v>
      </c>
      <c r="R17" s="100"/>
      <c r="S17" s="100"/>
      <c r="T17" s="30" t="s">
        <v>19</v>
      </c>
      <c r="U17" s="30" t="s">
        <v>38</v>
      </c>
      <c r="V17" s="30" t="s">
        <v>39</v>
      </c>
      <c r="W17" s="31" t="e">
        <f>W15-W16</f>
        <v>#REF!</v>
      </c>
      <c r="X17" s="30"/>
      <c r="Y17" s="30"/>
      <c r="Z17" s="30"/>
      <c r="AA17" s="30"/>
      <c r="AB17" s="30"/>
      <c r="AC17" s="30"/>
      <c r="AD17" s="30"/>
      <c r="AE17" s="30"/>
      <c r="AF17" s="30"/>
      <c r="AG17" s="30"/>
      <c r="AH17" s="30"/>
      <c r="AI17" s="30"/>
      <c r="AJ17" s="30"/>
      <c r="AK17" s="30"/>
      <c r="AL17" s="30"/>
      <c r="AM17" s="30"/>
      <c r="AN17" s="30"/>
      <c r="AO17" s="30"/>
      <c r="AP17" s="30"/>
      <c r="AQ17" s="30"/>
      <c r="AR17" s="30"/>
    </row>
    <row r="18" spans="1:44" ht="15.75" x14ac:dyDescent="0.25">
      <c r="A18" s="7">
        <f t="shared" si="1"/>
        <v>2</v>
      </c>
      <c r="B18" s="8">
        <f t="shared" si="9"/>
        <v>45668</v>
      </c>
      <c r="C18" s="9" t="str" cm="1">
        <f t="array" ref="C18">_xlfn.XLOOKUP(E18,Masterdata!$B$31:$B$44,Masterdata!$A$31:$A$44,_xlfn.SWITCH(WEEKDAY($D18, 2), 1, "Monday", 2, "Tuesday", 3, "Wednesday", 4, "Thursday", 5, "Friday", 6, "Saturday", 7, "Sunday"),0)</f>
        <v>Saturday</v>
      </c>
      <c r="D18" s="30">
        <f t="shared" si="0"/>
        <v>7</v>
      </c>
      <c r="E18" s="72">
        <f t="shared" si="2"/>
        <v>45668</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73" t="str">
        <f t="shared" si="4"/>
        <v>0</v>
      </c>
      <c r="N18" s="25" t="str">
        <f t="shared" si="5"/>
        <v>0:</v>
      </c>
      <c r="O18" s="56" t="str">
        <f t="shared" si="6"/>
        <v>0</v>
      </c>
      <c r="P18" s="57">
        <f t="shared" si="7"/>
        <v>0</v>
      </c>
      <c r="Q18" s="31">
        <f t="shared" si="8"/>
        <v>0</v>
      </c>
      <c r="R18" s="100"/>
      <c r="S18" s="100"/>
      <c r="T18" s="30"/>
      <c r="U18" s="30"/>
      <c r="V18" s="72"/>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15.75" x14ac:dyDescent="0.25">
      <c r="A19" s="7">
        <f t="shared" si="1"/>
        <v>2</v>
      </c>
      <c r="B19" s="8">
        <f t="shared" si="9"/>
        <v>45669</v>
      </c>
      <c r="C19" s="9" t="str" cm="1">
        <f t="array" ref="C19">_xlfn.XLOOKUP(E19,Masterdata!$B$31:$B$44,Masterdata!$A$31:$A$44,_xlfn.SWITCH(WEEKDAY($D19, 2), 1, "Monday", 2, "Tuesday", 3, "Wednesday", 4, "Thursday", 5, "Friday", 6, "Saturday", 7, "Sunday"),0)</f>
        <v>Sunday</v>
      </c>
      <c r="D19" s="30">
        <f t="shared" si="0"/>
        <v>8</v>
      </c>
      <c r="E19" s="72">
        <f t="shared" si="2"/>
        <v>45669</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73" t="str">
        <f t="shared" si="4"/>
        <v>0</v>
      </c>
      <c r="N19" s="25" t="str">
        <f t="shared" si="5"/>
        <v>0:</v>
      </c>
      <c r="O19" s="56" t="str">
        <f t="shared" si="6"/>
        <v>0</v>
      </c>
      <c r="P19" s="57">
        <f t="shared" si="7"/>
        <v>0</v>
      </c>
      <c r="Q19" s="31">
        <f t="shared" si="8"/>
        <v>0</v>
      </c>
      <c r="R19" s="100"/>
      <c r="S19" s="10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75" x14ac:dyDescent="0.25">
      <c r="A20" s="7">
        <f t="shared" si="1"/>
        <v>3</v>
      </c>
      <c r="B20" s="8">
        <f t="shared" si="9"/>
        <v>45670</v>
      </c>
      <c r="C20" s="9" t="str" cm="1">
        <f t="array" ref="C20">_xlfn.XLOOKUP(E20,Masterdata!$B$31:$B$44,Masterdata!$A$31:$A$44,_xlfn.SWITCH(WEEKDAY($D20, 2), 1, "Monday", 2, "Tuesday", 3, "Wednesday", 4, "Thursday", 5, "Friday", 6, "Saturday", 7, "Sunday"),0)</f>
        <v>Monday</v>
      </c>
      <c r="D20" s="30">
        <f t="shared" si="0"/>
        <v>2</v>
      </c>
      <c r="E20" s="72">
        <f t="shared" si="2"/>
        <v>45670</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0.30833333333333335</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73" t="str">
        <f>LEFT(L20,1)</f>
        <v>0</v>
      </c>
      <c r="N20" s="25" t="str">
        <f t="shared" si="5"/>
        <v>0:</v>
      </c>
      <c r="O20" s="56" t="str">
        <f t="shared" si="6"/>
        <v>0</v>
      </c>
      <c r="P20" s="57">
        <f t="shared" si="7"/>
        <v>0</v>
      </c>
      <c r="Q20" s="31">
        <f>IF(M20="-",N20-P20,N20+P20)</f>
        <v>0</v>
      </c>
      <c r="R20" s="100"/>
      <c r="S20" s="10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15.75" x14ac:dyDescent="0.25">
      <c r="A21" s="7">
        <f t="shared" si="1"/>
        <v>3</v>
      </c>
      <c r="B21" s="8">
        <f t="shared" si="9"/>
        <v>45671</v>
      </c>
      <c r="C21" s="9" t="str" cm="1">
        <f t="array" ref="C21">_xlfn.XLOOKUP(E21,Masterdata!$B$31:$B$44,Masterdata!$A$31:$A$44,_xlfn.SWITCH(WEEKDAY($D21, 2), 1, "Monday", 2, "Tuesday", 3, "Wednesday", 4, "Thursday", 5, "Friday", 6, "Saturday", 7, "Sunday"),0)</f>
        <v>Tuesday</v>
      </c>
      <c r="D21" s="30">
        <f t="shared" si="0"/>
        <v>3</v>
      </c>
      <c r="E21" s="72">
        <f t="shared" si="2"/>
        <v>45671</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0.30833333333333335</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73" t="str">
        <f t="shared" si="4"/>
        <v>0</v>
      </c>
      <c r="N21" s="25" t="str">
        <f t="shared" si="5"/>
        <v>0:</v>
      </c>
      <c r="O21" s="56" t="str">
        <f t="shared" si="6"/>
        <v>0</v>
      </c>
      <c r="P21" s="57">
        <f t="shared" si="7"/>
        <v>0</v>
      </c>
      <c r="Q21" s="31">
        <f t="shared" si="8"/>
        <v>0</v>
      </c>
      <c r="R21" s="100"/>
      <c r="S21" s="10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ht="15.75" x14ac:dyDescent="0.25">
      <c r="A22" s="7">
        <f t="shared" si="1"/>
        <v>3</v>
      </c>
      <c r="B22" s="8">
        <f t="shared" si="9"/>
        <v>45672</v>
      </c>
      <c r="C22" s="9" t="str" cm="1">
        <f t="array" ref="C22">_xlfn.XLOOKUP(E22,Masterdata!$B$31:$B$44,Masterdata!$A$31:$A$44,_xlfn.SWITCH(WEEKDAY($D22, 2), 1, "Monday", 2, "Tuesday", 3, "Wednesday", 4, "Thursday", 5, "Friday", 6, "Saturday", 7, "Sunday"),0)</f>
        <v>Wednesday</v>
      </c>
      <c r="D22" s="30">
        <f t="shared" si="0"/>
        <v>4</v>
      </c>
      <c r="E22" s="72">
        <f t="shared" si="2"/>
        <v>45672</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0.30833333333333335</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73" t="str">
        <f t="shared" si="4"/>
        <v>0</v>
      </c>
      <c r="N22" s="25" t="str">
        <f t="shared" si="5"/>
        <v>0:</v>
      </c>
      <c r="O22" s="56" t="str">
        <f t="shared" si="6"/>
        <v>0</v>
      </c>
      <c r="P22" s="57">
        <f t="shared" si="7"/>
        <v>0</v>
      </c>
      <c r="Q22" s="31">
        <f t="shared" si="8"/>
        <v>0</v>
      </c>
      <c r="R22" s="100"/>
      <c r="S22" s="10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5.75" x14ac:dyDescent="0.25">
      <c r="A23" s="7">
        <f t="shared" si="1"/>
        <v>3</v>
      </c>
      <c r="B23" s="8">
        <f t="shared" si="9"/>
        <v>45673</v>
      </c>
      <c r="C23" s="9" t="str" cm="1">
        <f t="array" ref="C23">_xlfn.XLOOKUP(E23,Masterdata!$B$31:$B$44,Masterdata!$A$31:$A$44,_xlfn.SWITCH(WEEKDAY($D23, 2), 1, "Monday", 2, "Tuesday", 3, "Wednesday", 4, "Thursday", 5, "Friday", 6, "Saturday", 7, "Sunday"),0)</f>
        <v>Thursday</v>
      </c>
      <c r="D23" s="30">
        <f t="shared" si="0"/>
        <v>5</v>
      </c>
      <c r="E23" s="72">
        <f t="shared" si="2"/>
        <v>45673</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0.30833333333333335</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73" t="str">
        <f t="shared" si="4"/>
        <v>0</v>
      </c>
      <c r="N23" s="25" t="str">
        <f t="shared" si="5"/>
        <v>0:</v>
      </c>
      <c r="O23" s="56" t="str">
        <f t="shared" si="6"/>
        <v>0</v>
      </c>
      <c r="P23" s="57">
        <f t="shared" si="7"/>
        <v>0</v>
      </c>
      <c r="Q23" s="31">
        <f t="shared" si="8"/>
        <v>0</v>
      </c>
      <c r="R23" s="100"/>
      <c r="S23" s="10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15.75" x14ac:dyDescent="0.25">
      <c r="A24" s="7">
        <f t="shared" si="1"/>
        <v>3</v>
      </c>
      <c r="B24" s="8">
        <f t="shared" si="9"/>
        <v>45674</v>
      </c>
      <c r="C24" s="9" t="str" cm="1">
        <f t="array" ref="C24">_xlfn.XLOOKUP(E24,Masterdata!$B$31:$B$44,Masterdata!$A$31:$A$44,_xlfn.SWITCH(WEEKDAY($D24, 2), 1, "Monday", 2, "Tuesday", 3, "Wednesday", 4, "Thursday", 5, "Friday", 6, "Saturday", 7, "Sunday"),0)</f>
        <v>Friday</v>
      </c>
      <c r="D24" s="30">
        <f t="shared" si="0"/>
        <v>6</v>
      </c>
      <c r="E24" s="72">
        <f t="shared" si="2"/>
        <v>45674</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0.30833333333333335</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73" t="str">
        <f t="shared" si="4"/>
        <v>0</v>
      </c>
      <c r="N24" s="25" t="str">
        <f t="shared" si="5"/>
        <v>0:</v>
      </c>
      <c r="O24" s="56" t="str">
        <f t="shared" si="6"/>
        <v>0</v>
      </c>
      <c r="P24" s="57">
        <f t="shared" si="7"/>
        <v>0</v>
      </c>
      <c r="Q24" s="31">
        <f t="shared" si="8"/>
        <v>0</v>
      </c>
      <c r="R24" s="100"/>
      <c r="S24" s="10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5.75" x14ac:dyDescent="0.25">
      <c r="A25" s="7">
        <f t="shared" si="1"/>
        <v>3</v>
      </c>
      <c r="B25" s="8">
        <f t="shared" si="9"/>
        <v>45675</v>
      </c>
      <c r="C25" s="9" t="str" cm="1">
        <f t="array" ref="C25">_xlfn.XLOOKUP(E25,Masterdata!$B$31:$B$44,Masterdata!$A$31:$A$44,_xlfn.SWITCH(WEEKDAY($D25, 2), 1, "Monday", 2, "Tuesday", 3, "Wednesday", 4, "Thursday", 5, "Friday", 6, "Saturday", 7, "Sunday"),0)</f>
        <v>Saturday</v>
      </c>
      <c r="D25" s="30">
        <f t="shared" si="0"/>
        <v>7</v>
      </c>
      <c r="E25" s="72">
        <f t="shared" si="2"/>
        <v>45675</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73" t="str">
        <f t="shared" si="4"/>
        <v>0</v>
      </c>
      <c r="N25" s="25" t="str">
        <f t="shared" si="5"/>
        <v>0:</v>
      </c>
      <c r="O25" s="56" t="str">
        <f t="shared" si="6"/>
        <v>0</v>
      </c>
      <c r="P25" s="57">
        <f t="shared" si="7"/>
        <v>0</v>
      </c>
      <c r="Q25" s="31">
        <f t="shared" si="8"/>
        <v>0</v>
      </c>
      <c r="R25" s="100"/>
      <c r="S25" s="10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ht="15.75" x14ac:dyDescent="0.25">
      <c r="A26" s="7">
        <f t="shared" si="1"/>
        <v>3</v>
      </c>
      <c r="B26" s="8">
        <f t="shared" si="9"/>
        <v>45676</v>
      </c>
      <c r="C26" s="9" t="str" cm="1">
        <f t="array" ref="C26">_xlfn.XLOOKUP(E26,Masterdata!$B$31:$B$44,Masterdata!$A$31:$A$44,_xlfn.SWITCH(WEEKDAY($D26, 2), 1, "Monday", 2, "Tuesday", 3, "Wednesday", 4, "Thursday", 5, "Friday", 6, "Saturday", 7, "Sunday"),0)</f>
        <v>Sunday</v>
      </c>
      <c r="D26" s="30">
        <f t="shared" si="0"/>
        <v>8</v>
      </c>
      <c r="E26" s="72">
        <f t="shared" si="2"/>
        <v>45676</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73" t="str">
        <f t="shared" si="4"/>
        <v>0</v>
      </c>
      <c r="N26" s="25" t="str">
        <f t="shared" si="5"/>
        <v>0:</v>
      </c>
      <c r="O26" s="56" t="str">
        <f t="shared" si="6"/>
        <v>0</v>
      </c>
      <c r="P26" s="57">
        <f t="shared" si="7"/>
        <v>0</v>
      </c>
      <c r="Q26" s="31">
        <f t="shared" si="8"/>
        <v>0</v>
      </c>
      <c r="R26" s="100"/>
      <c r="S26" s="10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5.75" x14ac:dyDescent="0.25">
      <c r="A27" s="7">
        <f t="shared" si="1"/>
        <v>4</v>
      </c>
      <c r="B27" s="8">
        <f t="shared" si="9"/>
        <v>45677</v>
      </c>
      <c r="C27" s="9" t="str" cm="1">
        <f t="array" ref="C27">_xlfn.XLOOKUP(E27,Masterdata!$B$31:$B$44,Masterdata!$A$31:$A$44,_xlfn.SWITCH(WEEKDAY($D27, 2), 1, "Monday", 2, "Tuesday", 3, "Wednesday", 4, "Thursday", 5, "Friday", 6, "Saturday", 7, "Sunday"),0)</f>
        <v>Monday</v>
      </c>
      <c r="D27" s="30">
        <f t="shared" si="0"/>
        <v>2</v>
      </c>
      <c r="E27" s="72">
        <f t="shared" si="2"/>
        <v>45677</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0.30833333333333335</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73" t="str">
        <f t="shared" si="4"/>
        <v>0</v>
      </c>
      <c r="N27" s="25" t="str">
        <f t="shared" si="5"/>
        <v>0:</v>
      </c>
      <c r="O27" s="56" t="str">
        <f t="shared" si="6"/>
        <v>0</v>
      </c>
      <c r="P27" s="57">
        <f t="shared" si="7"/>
        <v>0</v>
      </c>
      <c r="Q27" s="31">
        <f t="shared" si="8"/>
        <v>0</v>
      </c>
      <c r="R27" s="100"/>
      <c r="S27" s="10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ht="15.75" x14ac:dyDescent="0.25">
      <c r="A28" s="7">
        <f t="shared" si="1"/>
        <v>4</v>
      </c>
      <c r="B28" s="8">
        <f t="shared" si="9"/>
        <v>45678</v>
      </c>
      <c r="C28" s="9" t="str" cm="1">
        <f t="array" ref="C28">_xlfn.XLOOKUP(E28,Masterdata!$B$31:$B$44,Masterdata!$A$31:$A$44,_xlfn.SWITCH(WEEKDAY($D28, 2), 1, "Monday", 2, "Tuesday", 3, "Wednesday", 4, "Thursday", 5, "Friday", 6, "Saturday", 7, "Sunday"),0)</f>
        <v>Tuesday</v>
      </c>
      <c r="D28" s="30">
        <f t="shared" si="0"/>
        <v>3</v>
      </c>
      <c r="E28" s="72">
        <f t="shared" si="2"/>
        <v>45678</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0.30833333333333335</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73" t="str">
        <f t="shared" si="4"/>
        <v>0</v>
      </c>
      <c r="N28" s="25" t="str">
        <f t="shared" si="5"/>
        <v>0:</v>
      </c>
      <c r="O28" s="56" t="str">
        <f t="shared" si="6"/>
        <v>0</v>
      </c>
      <c r="P28" s="57">
        <f t="shared" si="7"/>
        <v>0</v>
      </c>
      <c r="Q28" s="31">
        <f t="shared" si="8"/>
        <v>0</v>
      </c>
      <c r="R28" s="100"/>
      <c r="S28" s="10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5.75" x14ac:dyDescent="0.25">
      <c r="A29" s="7">
        <f t="shared" si="1"/>
        <v>4</v>
      </c>
      <c r="B29" s="8">
        <f t="shared" si="9"/>
        <v>45679</v>
      </c>
      <c r="C29" s="9" t="str" cm="1">
        <f t="array" ref="C29">_xlfn.XLOOKUP(E29,Masterdata!$B$31:$B$44,Masterdata!$A$31:$A$44,_xlfn.SWITCH(WEEKDAY($D29, 2), 1, "Monday", 2, "Tuesday", 3, "Wednesday", 4, "Thursday", 5, "Friday", 6, "Saturday", 7, "Sunday"),0)</f>
        <v>Wednesday</v>
      </c>
      <c r="D29" s="30">
        <f t="shared" si="0"/>
        <v>4</v>
      </c>
      <c r="E29" s="72">
        <f t="shared" si="2"/>
        <v>45679</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0.30833333333333335</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73" t="str">
        <f t="shared" si="4"/>
        <v>0</v>
      </c>
      <c r="N29" s="25" t="str">
        <f t="shared" si="5"/>
        <v>0:</v>
      </c>
      <c r="O29" s="56" t="str">
        <f t="shared" si="6"/>
        <v>0</v>
      </c>
      <c r="P29" s="57">
        <f t="shared" si="7"/>
        <v>0</v>
      </c>
      <c r="Q29" s="31">
        <f t="shared" si="8"/>
        <v>0</v>
      </c>
      <c r="R29" s="100"/>
      <c r="S29" s="10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ht="15.75" x14ac:dyDescent="0.25">
      <c r="A30" s="7">
        <f t="shared" si="1"/>
        <v>4</v>
      </c>
      <c r="B30" s="8">
        <f t="shared" si="9"/>
        <v>45680</v>
      </c>
      <c r="C30" s="9" t="str" cm="1">
        <f t="array" ref="C30">_xlfn.XLOOKUP(E30,Masterdata!$B$31:$B$44,Masterdata!$A$31:$A$44,_xlfn.SWITCH(WEEKDAY($D30, 2), 1, "Monday", 2, "Tuesday", 3, "Wednesday", 4, "Thursday", 5, "Friday", 6, "Saturday", 7, "Sunday"),0)</f>
        <v>Thursday</v>
      </c>
      <c r="D30" s="30">
        <f t="shared" si="0"/>
        <v>5</v>
      </c>
      <c r="E30" s="72">
        <f t="shared" si="2"/>
        <v>45680</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0.30833333333333335</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73" t="str">
        <f t="shared" si="4"/>
        <v>0</v>
      </c>
      <c r="N30" s="25" t="str">
        <f t="shared" si="5"/>
        <v>0:</v>
      </c>
      <c r="O30" s="56" t="str">
        <f t="shared" si="6"/>
        <v>0</v>
      </c>
      <c r="P30" s="57">
        <f t="shared" si="7"/>
        <v>0</v>
      </c>
      <c r="Q30" s="31">
        <f t="shared" si="8"/>
        <v>0</v>
      </c>
      <c r="R30" s="100"/>
      <c r="S30" s="10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5.75" x14ac:dyDescent="0.25">
      <c r="A31" s="7">
        <f t="shared" si="1"/>
        <v>4</v>
      </c>
      <c r="B31" s="8">
        <f t="shared" si="9"/>
        <v>45681</v>
      </c>
      <c r="C31" s="9" t="str" cm="1">
        <f t="array" ref="C31">_xlfn.XLOOKUP(E31,Masterdata!$B$31:$B$44,Masterdata!$A$31:$A$44,_xlfn.SWITCH(WEEKDAY($D31, 2), 1, "Monday", 2, "Tuesday", 3, "Wednesday", 4, "Thursday", 5, "Friday", 6, "Saturday", 7, "Sunday"),0)</f>
        <v>Friday</v>
      </c>
      <c r="D31" s="30">
        <f t="shared" si="0"/>
        <v>6</v>
      </c>
      <c r="E31" s="72">
        <f t="shared" si="2"/>
        <v>45681</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0.30833333333333335</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73" t="str">
        <f t="shared" si="4"/>
        <v>0</v>
      </c>
      <c r="N31" s="25" t="str">
        <f t="shared" si="5"/>
        <v>0:</v>
      </c>
      <c r="O31" s="56" t="str">
        <f t="shared" si="6"/>
        <v>0</v>
      </c>
      <c r="P31" s="57">
        <f t="shared" si="7"/>
        <v>0</v>
      </c>
      <c r="Q31" s="31">
        <f t="shared" si="8"/>
        <v>0</v>
      </c>
      <c r="R31" s="100"/>
      <c r="S31" s="10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15.75" x14ac:dyDescent="0.25">
      <c r="A32" s="7">
        <f t="shared" si="1"/>
        <v>4</v>
      </c>
      <c r="B32" s="8">
        <f t="shared" si="9"/>
        <v>45682</v>
      </c>
      <c r="C32" s="9" t="str" cm="1">
        <f t="array" ref="C32">_xlfn.XLOOKUP(E32,Masterdata!$B$31:$B$44,Masterdata!$A$31:$A$44,_xlfn.SWITCH(WEEKDAY($D32, 2), 1, "Monday", 2, "Tuesday", 3, "Wednesday", 4, "Thursday", 5, "Friday", 6, "Saturday", 7, "Sunday"),0)</f>
        <v>Saturday</v>
      </c>
      <c r="D32" s="30">
        <f t="shared" si="0"/>
        <v>7</v>
      </c>
      <c r="E32" s="72">
        <f t="shared" si="2"/>
        <v>45682</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73" t="str">
        <f t="shared" si="4"/>
        <v>0</v>
      </c>
      <c r="N32" s="25" t="str">
        <f t="shared" si="5"/>
        <v>0:</v>
      </c>
      <c r="O32" s="56" t="str">
        <f t="shared" si="6"/>
        <v>0</v>
      </c>
      <c r="P32" s="57">
        <f t="shared" si="7"/>
        <v>0</v>
      </c>
      <c r="Q32" s="31">
        <f t="shared" si="8"/>
        <v>0</v>
      </c>
      <c r="R32" s="100"/>
      <c r="S32" s="10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5.75" x14ac:dyDescent="0.25">
      <c r="A33" s="7">
        <f t="shared" si="1"/>
        <v>4</v>
      </c>
      <c r="B33" s="8">
        <f t="shared" si="9"/>
        <v>45683</v>
      </c>
      <c r="C33" s="9" t="str" cm="1">
        <f t="array" ref="C33">_xlfn.XLOOKUP(E33,Masterdata!$B$31:$B$44,Masterdata!$A$31:$A$44,_xlfn.SWITCH(WEEKDAY($D33, 2), 1, "Monday", 2, "Tuesday", 3, "Wednesday", 4, "Thursday", 5, "Friday", 6, "Saturday", 7, "Sunday"),0)</f>
        <v>Sunday</v>
      </c>
      <c r="D33" s="30">
        <f t="shared" si="0"/>
        <v>8</v>
      </c>
      <c r="E33" s="72">
        <f t="shared" si="2"/>
        <v>45683</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73" t="str">
        <f t="shared" si="4"/>
        <v>0</v>
      </c>
      <c r="N33" s="25" t="str">
        <f t="shared" si="5"/>
        <v>0:</v>
      </c>
      <c r="O33" s="56" t="str">
        <f t="shared" si="6"/>
        <v>0</v>
      </c>
      <c r="P33" s="57">
        <f t="shared" si="7"/>
        <v>0</v>
      </c>
      <c r="Q33" s="31">
        <f t="shared" si="8"/>
        <v>0</v>
      </c>
      <c r="R33" s="100"/>
      <c r="S33" s="10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15.75" x14ac:dyDescent="0.25">
      <c r="A34" s="7">
        <f t="shared" si="1"/>
        <v>5</v>
      </c>
      <c r="B34" s="8">
        <f t="shared" si="9"/>
        <v>45684</v>
      </c>
      <c r="C34" s="9" t="str" cm="1">
        <f t="array" ref="C34">_xlfn.XLOOKUP(E34,Masterdata!$B$31:$B$44,Masterdata!$A$31:$A$44,_xlfn.SWITCH(WEEKDAY($D34, 2), 1, "Monday", 2, "Tuesday", 3, "Wednesday", 4, "Thursday", 5, "Friday", 6, "Saturday", 7, "Sunday"),0)</f>
        <v>Monday</v>
      </c>
      <c r="D34" s="30">
        <f t="shared" si="0"/>
        <v>2</v>
      </c>
      <c r="E34" s="72">
        <f t="shared" si="2"/>
        <v>45684</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0.30833333333333335</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73" t="str">
        <f t="shared" si="4"/>
        <v>0</v>
      </c>
      <c r="N34" s="25" t="str">
        <f t="shared" si="5"/>
        <v>0:</v>
      </c>
      <c r="O34" s="56" t="str">
        <f t="shared" si="6"/>
        <v>0</v>
      </c>
      <c r="P34" s="57">
        <f t="shared" si="7"/>
        <v>0</v>
      </c>
      <c r="Q34" s="31">
        <f t="shared" si="8"/>
        <v>0</v>
      </c>
      <c r="R34" s="100"/>
      <c r="S34" s="10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5.75" x14ac:dyDescent="0.25">
      <c r="A35" s="7">
        <f t="shared" si="1"/>
        <v>5</v>
      </c>
      <c r="B35" s="8">
        <f t="shared" si="9"/>
        <v>45685</v>
      </c>
      <c r="C35" s="9" t="str" cm="1">
        <f t="array" ref="C35">_xlfn.XLOOKUP(E35,Masterdata!$B$31:$B$44,Masterdata!$A$31:$A$44,_xlfn.SWITCH(WEEKDAY($D35, 2), 1, "Monday", 2, "Tuesday", 3, "Wednesday", 4, "Thursday", 5, "Friday", 6, "Saturday", 7, "Sunday"),0)</f>
        <v>Tuesday</v>
      </c>
      <c r="D35" s="30">
        <f t="shared" si="0"/>
        <v>3</v>
      </c>
      <c r="E35" s="72">
        <f t="shared" si="2"/>
        <v>45685</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0.30833333333333335</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73" t="str">
        <f t="shared" si="4"/>
        <v>0</v>
      </c>
      <c r="N35" s="25" t="str">
        <f t="shared" si="5"/>
        <v>0:</v>
      </c>
      <c r="O35" s="56" t="str">
        <f t="shared" si="6"/>
        <v>0</v>
      </c>
      <c r="P35" s="57">
        <f t="shared" si="7"/>
        <v>0</v>
      </c>
      <c r="Q35" s="31">
        <f t="shared" si="8"/>
        <v>0</v>
      </c>
      <c r="R35" s="100"/>
      <c r="S35" s="10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15.75" x14ac:dyDescent="0.25">
      <c r="A36" s="7">
        <f t="shared" si="1"/>
        <v>5</v>
      </c>
      <c r="B36" s="8">
        <f t="shared" si="9"/>
        <v>45686</v>
      </c>
      <c r="C36" s="9" t="str" cm="1">
        <f t="array" ref="C36">_xlfn.XLOOKUP(E36,Masterdata!$B$31:$B$44,Masterdata!$A$31:$A$44,_xlfn.SWITCH(WEEKDAY($D36, 2), 1, "Monday", 2, "Tuesday", 3, "Wednesday", 4, "Thursday", 5, "Friday", 6, "Saturday", 7, "Sunday"),0)</f>
        <v>Wednesday</v>
      </c>
      <c r="D36" s="30">
        <f t="shared" si="0"/>
        <v>4</v>
      </c>
      <c r="E36" s="72">
        <f t="shared" si="2"/>
        <v>45686</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0.30833333333333335</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73" t="str">
        <f t="shared" si="4"/>
        <v>0</v>
      </c>
      <c r="N36" s="25" t="str">
        <f t="shared" si="5"/>
        <v>0:</v>
      </c>
      <c r="O36" s="56" t="str">
        <f t="shared" si="6"/>
        <v>0</v>
      </c>
      <c r="P36" s="57">
        <f t="shared" si="7"/>
        <v>0</v>
      </c>
      <c r="Q36" s="31">
        <f t="shared" si="8"/>
        <v>0</v>
      </c>
      <c r="R36" s="100"/>
      <c r="S36" s="10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ht="15.75" x14ac:dyDescent="0.25">
      <c r="A37" s="7">
        <f t="shared" si="1"/>
        <v>5</v>
      </c>
      <c r="B37" s="8">
        <f t="shared" si="9"/>
        <v>45687</v>
      </c>
      <c r="C37" s="9" t="str" cm="1">
        <f t="array" ref="C37">_xlfn.XLOOKUP(E37,Masterdata!$B$31:$B$44,Masterdata!$A$31:$A$44,_xlfn.SWITCH(WEEKDAY($D37, 2), 1, "Monday", 2, "Tuesday", 3, "Wednesday", 4, "Thursday", 5, "Friday", 6, "Saturday", 7, "Sunday"),0)</f>
        <v>Thursday</v>
      </c>
      <c r="D37" s="30">
        <f t="shared" si="0"/>
        <v>5</v>
      </c>
      <c r="E37" s="72">
        <f t="shared" si="2"/>
        <v>45687</v>
      </c>
      <c r="F37" s="10" t="s">
        <v>18</v>
      </c>
      <c r="G37" s="12">
        <f>IF(AND(F37="N",NOT(OR($C37="Monday", $C37="Tuesday",$C37="Wednesday",$C37="Thursday",$C37="Friday"))),0,IFERROR(
    IF($F37="N", $W$9,
        IF(OR(
            AND(Masterdata!$B$4&lt;&gt;DATE(1900,1,0), Masterdata!$B$4&lt;$E37),
            AND(Masterdata!$B$3&lt;&gt;DATE(1900,1,0), Masterdata!$B$3&gt;$E37)
        ),
        IF($H37&gt;=TIME(0,0,0), "Type in next cell", 0),
        IF($H37&gt;=TIME(0,0,0), "Type in next cell",
            IF($H37&gt;=0, 0,
                IF(NOT(OR($C37="Monday", $C37="Tuesday",$C37="Wednesday",$C37="Thursday",$C37="Friday")), 0, 0)
            )
        )
    )),
"Type in next cell"))</f>
        <v>0.30833333333333335</v>
      </c>
      <c r="H37" s="11">
        <v>0</v>
      </c>
      <c r="I37" s="11">
        <v>0</v>
      </c>
      <c r="J37" s="11">
        <v>0</v>
      </c>
      <c r="K37" s="27" t="str">
        <f t="shared" si="3"/>
        <v>00:00</v>
      </c>
      <c r="L37" s="27" t="str">
        <f>IF(F37="N","0:00",IF(
OR(
AND(Masterdata!$B$4&lt;&gt;DATE(1900,1,0),Masterdata!$B$4&lt;$E37),
AND(Masterdata!$B$3&lt;&gt;DATE(1900,1,0),Masterdata!$B$3&gt;$E37)
),
"0:00",
IF(
$H37&gt;TIME(0,0,0),
IF(
NOT(OR($C37="Monday", $C37="Tuesday",$C37="Wednesday",$C37="Thursday",$C37="Friday")),
TEXT($H37,"[tt]:mm"),
IF($H37-$W$9&gt;=0,TEXT($H37-$W$9,"[tt]:mm"),"-"&amp;TEXT(ABS($H37-$W$9),"[tt]:mm"))
),
IF(
NOT(OR($C37="Monday", $C37="Tuesday",$C37="Wednesday",$C37="Thursday",$C37="Friday")),
IF($J37-$I37&gt;=0,TEXT($J37-$I37,"[tt]:mm"),"-"&amp;TEXT(ABS($J37-$I37),"[tt]:mm")),
IFERROR(
IF($G37-$W$9=0,
IF($G37-$W$9&gt;=0,TEXT($G37-$W$9,"[tt]:mm"),"-"&amp;TEXT(ABS($G37-$W$9),"[tt]:mm")),
IF($J37-$I37&gt;=0,TEXT($J37-$I37,"[tt]:mm"),"-"&amp;TEXT(ABS($J37-$I37),"[tt]:mm"))
),
IF(
$J37-$I37-$W$9&gt;=0,
TEXT($J37-$I37-$W$9,"[tt]:mm"),
"-"&amp;TEXT(ABS($J37-$I37-$W$9),"[tt]:mm")
)
)
)
)
))</f>
        <v>0:00</v>
      </c>
      <c r="M37" s="73" t="str">
        <f t="shared" si="4"/>
        <v>0</v>
      </c>
      <c r="N37" s="25" t="str">
        <f t="shared" si="5"/>
        <v>0:</v>
      </c>
      <c r="O37" s="56" t="str">
        <f t="shared" si="6"/>
        <v>0</v>
      </c>
      <c r="P37" s="57">
        <f t="shared" si="7"/>
        <v>0</v>
      </c>
      <c r="Q37" s="31">
        <f t="shared" si="8"/>
        <v>0</v>
      </c>
      <c r="R37" s="100"/>
      <c r="S37" s="10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15.75" x14ac:dyDescent="0.25">
      <c r="A38" s="7">
        <f t="shared" si="1"/>
        <v>5</v>
      </c>
      <c r="B38" s="8">
        <f t="shared" si="9"/>
        <v>45688</v>
      </c>
      <c r="C38" s="9" t="str" cm="1">
        <f t="array" ref="C38">_xlfn.XLOOKUP(E38,Masterdata!$B$31:$B$44,Masterdata!$A$31:$A$44,_xlfn.SWITCH(WEEKDAY($D38, 2), 1, "Monday", 2, "Tuesday", 3, "Wednesday", 4, "Thursday", 5, "Friday", 6, "Saturday", 7, "Sunday"),0)</f>
        <v>Friday</v>
      </c>
      <c r="D38" s="30">
        <f t="shared" si="0"/>
        <v>6</v>
      </c>
      <c r="E38" s="72">
        <f t="shared" si="2"/>
        <v>45688</v>
      </c>
      <c r="F38" s="10" t="s">
        <v>18</v>
      </c>
      <c r="G38" s="12">
        <f>IF(AND(F38="N",NOT(OR($C38="Monday", $C38="Tuesday",$C38="Wednesday",$C38="Thursday",$C38="Friday"))),0,IFERROR(
    IF($F38="N", $W$9,
        IF(OR(
            AND(Masterdata!$B$4&lt;&gt;DATE(1900,1,0), Masterdata!$B$4&lt;$E38),
            AND(Masterdata!$B$3&lt;&gt;DATE(1900,1,0), Masterdata!$B$3&gt;$E38)
        ),
        IF($H38&gt;=TIME(0,0,0), "Type in next cell", 0),
        IF($H38&gt;=TIME(0,0,0), "Type in next cell",
            IF($H38&gt;=0, 0,
                IF(NOT(OR($C38="Monday", $C38="Tuesday",$C38="Wednesday",$C38="Thursday",$C38="Friday")), 0, 0)
            )
        )
    )),
"Type in next cell"))</f>
        <v>0.30833333333333335</v>
      </c>
      <c r="H38" s="11">
        <v>0</v>
      </c>
      <c r="I38" s="11">
        <v>0</v>
      </c>
      <c r="J38" s="11">
        <v>0</v>
      </c>
      <c r="K38" s="27" t="str">
        <f t="shared" si="3"/>
        <v>00:00</v>
      </c>
      <c r="L38" s="27" t="str">
        <f>IF(F38="N","0:00",IF(
OR(
AND(Masterdata!$B$4&lt;&gt;DATE(1900,1,0),Masterdata!$B$4&lt;$E38),
AND(Masterdata!$B$3&lt;&gt;DATE(1900,1,0),Masterdata!$B$3&gt;$E38)
),
"0:00",
IF(
$H38&gt;TIME(0,0,0),
IF(
NOT(OR($C38="Monday", $C38="Tuesday",$C38="Wednesday",$C38="Thursday",$C38="Friday")),
TEXT($H38,"[tt]:mm"),
IF($H38-$W$9&gt;=0,TEXT($H38-$W$9,"[tt]:mm"),"-"&amp;TEXT(ABS($H38-$W$9),"[tt]:mm"))
),
IF(
NOT(OR($C38="Monday", $C38="Tuesday",$C38="Wednesday",$C38="Thursday",$C38="Friday")),
IF($J38-$I38&gt;=0,TEXT($J38-$I38,"[tt]:mm"),"-"&amp;TEXT(ABS($J38-$I38),"[tt]:mm")),
IFERROR(
IF($G38-$W$9=0,
IF($G38-$W$9&gt;=0,TEXT($G38-$W$9,"[tt]:mm"),"-"&amp;TEXT(ABS($G38-$W$9),"[tt]:mm")),
IF($J38-$I38&gt;=0,TEXT($J38-$I38,"[tt]:mm"),"-"&amp;TEXT(ABS($J38-$I38),"[tt]:mm"))
),
IF(
$J38-$I38-$W$9&gt;=0,
TEXT($J38-$I38-$W$9,"[tt]:mm"),
"-"&amp;TEXT(ABS($J38-$I38-$W$9),"[tt]:mm")
)
)
)
)
))</f>
        <v>0:00</v>
      </c>
      <c r="M38" s="73" t="str">
        <f t="shared" si="4"/>
        <v>0</v>
      </c>
      <c r="N38" s="25" t="str">
        <f t="shared" si="5"/>
        <v>0:</v>
      </c>
      <c r="O38" s="56" t="str">
        <f t="shared" si="6"/>
        <v>0</v>
      </c>
      <c r="P38" s="57">
        <f t="shared" si="7"/>
        <v>0</v>
      </c>
      <c r="Q38" s="31">
        <f t="shared" si="8"/>
        <v>0</v>
      </c>
      <c r="R38" s="100"/>
      <c r="S38" s="10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5.75" x14ac:dyDescent="0.25">
      <c r="A39" s="30"/>
      <c r="B39" s="30"/>
      <c r="C39" s="30"/>
      <c r="D39" s="30"/>
      <c r="E39" s="30"/>
      <c r="F39" s="30"/>
      <c r="G39" s="30"/>
      <c r="H39" s="30"/>
      <c r="I39" s="30"/>
      <c r="J39" s="30"/>
      <c r="K39" s="30"/>
      <c r="L39" s="75"/>
      <c r="M39" s="30"/>
      <c r="N39" s="30"/>
      <c r="O39" s="30"/>
      <c r="P39" s="30"/>
      <c r="Q39" s="31">
        <f>SUM(Q8:Q38)</f>
        <v>0</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15.7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5.7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15.7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ht="15.7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ht="15.7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ht="15.7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ht="15.7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row>
    <row r="50" spans="1:44" ht="15.7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ht="15.7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7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1:44" ht="15.7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44" ht="15.7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ht="15.7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44" ht="15.7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ht="15.7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ht="15.7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ht="15.7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ht="15.7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ht="15.7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ht="15.7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15.7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row>
    <row r="64" spans="1:44" ht="15.7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row>
    <row r="65" spans="1:44" ht="15.7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15.7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5.7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row>
    <row r="68" spans="1:44" ht="15.7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ht="15.7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row>
    <row r="70" spans="1:44" ht="15.7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ht="15.7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15.7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ht="15.7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ht="15.7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ht="15.7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row>
    <row r="76" spans="1:44" ht="15.7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ht="15.75"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row>
  </sheetData>
  <sheetProtection algorithmName="SHA-512" hashValue="4VsSVagyv6rb3w9gy+Ae7wN+762zqdnC1m8PVOlTFa9C+t9Jevbyftrm6e9RnKCdiIYYPiuiz488rrMlksI7dg==" saltValue="JDQQVn2ul2kPmh+7UmMWOw==" spinCount="100000" sheet="1" objects="1" scenarios="1"/>
  <mergeCells count="37">
    <mergeCell ref="R7:S7"/>
    <mergeCell ref="R1:S1"/>
    <mergeCell ref="R2:S2"/>
    <mergeCell ref="R3:S3"/>
    <mergeCell ref="R4:S4"/>
    <mergeCell ref="R5:S5"/>
    <mergeCell ref="R19:S19"/>
    <mergeCell ref="R8:S8"/>
    <mergeCell ref="R9:S9"/>
    <mergeCell ref="R10:S10"/>
    <mergeCell ref="R11:S11"/>
    <mergeCell ref="R12:S12"/>
    <mergeCell ref="R13:S13"/>
    <mergeCell ref="R14:S14"/>
    <mergeCell ref="R15:S15"/>
    <mergeCell ref="R16:S16"/>
    <mergeCell ref="R17:S17"/>
    <mergeCell ref="R18:S18"/>
    <mergeCell ref="R31:S31"/>
    <mergeCell ref="R20:S20"/>
    <mergeCell ref="R21:S21"/>
    <mergeCell ref="R22:S22"/>
    <mergeCell ref="R23:S23"/>
    <mergeCell ref="R24:S24"/>
    <mergeCell ref="R25:S25"/>
    <mergeCell ref="R26:S26"/>
    <mergeCell ref="R27:S27"/>
    <mergeCell ref="R28:S28"/>
    <mergeCell ref="R29:S29"/>
    <mergeCell ref="R30:S30"/>
    <mergeCell ref="R38:S38"/>
    <mergeCell ref="R32:S32"/>
    <mergeCell ref="R33:S33"/>
    <mergeCell ref="R34:S34"/>
    <mergeCell ref="R35:S35"/>
    <mergeCell ref="R36:S36"/>
    <mergeCell ref="R37:S37"/>
  </mergeCells>
  <conditionalFormatting sqref="A8:G38">
    <cfRule type="expression" dxfId="48" priority="2">
      <formula>NOT(OR($C8="Monday", $C8="Tuesday",$C8="Wednesday",$C8="Thursday",$C8="Friday"))</formula>
    </cfRule>
  </conditionalFormatting>
  <conditionalFormatting sqref="G8:G38">
    <cfRule type="expression" dxfId="47" priority="4">
      <formula>AND($F8="N", (OR($C8="Monday", $C8="Tuesday",$C8="Wednesday",$C8="Thursday",$C8="Friday")))</formula>
    </cfRule>
  </conditionalFormatting>
  <conditionalFormatting sqref="H8:J38">
    <cfRule type="expression" dxfId="46" priority="1">
      <formula>OR($F8="N")</formula>
    </cfRule>
    <cfRule type="expression" dxfId="45" priority="3">
      <formula>$F8="R"</formula>
    </cfRule>
  </conditionalFormatting>
  <dataValidations count="1">
    <dataValidation type="list" allowBlank="1" showInputMessage="1" showErrorMessage="1" sqref="F8:F38" xr:uid="{558DBD59-96C8-4AE4-BB1F-AE6357753758}">
      <formula1>$L$3:$L$4</formula1>
    </dataValidation>
  </dataValidations>
  <pageMargins left="0.7" right="0.7" top="0.75" bottom="0.75" header="0.3" footer="0.3"/>
  <pageSetup paperSize="9" orientation="portrait" r:id="rId1"/>
  <ignoredErrors>
    <ignoredError sqref="L3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08517-46B2-43A5-8C6D-85D662170B52}">
  <dimension ref="A1:Y37"/>
  <sheetViews>
    <sheetView zoomScale="70" zoomScaleNormal="70" workbookViewId="0">
      <selection activeCell="C1" sqref="C1"/>
    </sheetView>
  </sheetViews>
  <sheetFormatPr defaultColWidth="16.7109375"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7" width="7.5703125"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16.7109375" collapsed="1"/>
  </cols>
  <sheetData>
    <row r="1" spans="1:25"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35"/>
      <c r="U1" s="35"/>
      <c r="V1" s="36"/>
    </row>
    <row r="2" spans="1:25" ht="16.5" x14ac:dyDescent="0.3">
      <c r="A2" s="44" t="s">
        <v>92</v>
      </c>
      <c r="B2" s="71" t="str">
        <f>Masterdata!$D$27</f>
        <v>00:00</v>
      </c>
      <c r="C2" s="30"/>
      <c r="D2" s="30"/>
      <c r="E2" s="30"/>
      <c r="F2" s="30"/>
      <c r="G2" s="30"/>
      <c r="H2" s="30"/>
      <c r="I2" s="30"/>
      <c r="J2" s="30"/>
      <c r="K2" s="30"/>
      <c r="L2" s="90"/>
      <c r="R2" s="106"/>
      <c r="S2" s="107"/>
      <c r="T2" s="45"/>
      <c r="U2" s="45"/>
      <c r="V2" s="46"/>
    </row>
    <row r="3" spans="1:25" ht="31.5" customHeight="1" x14ac:dyDescent="0.25">
      <c r="A3" s="47" t="s">
        <v>109</v>
      </c>
      <c r="B3" s="71" t="str">
        <f>IF(Q37&lt;0,"-"&amp;TEXT(ABS(Q37/24),"[tt]:mm"),TEXT(Q37/24,"[tt]:mm"))</f>
        <v>00:00</v>
      </c>
      <c r="C3" s="30"/>
      <c r="D3" s="30"/>
      <c r="E3" s="30"/>
      <c r="F3" s="30"/>
      <c r="G3" s="30"/>
      <c r="H3" s="30"/>
      <c r="I3" s="30"/>
      <c r="J3" s="30"/>
      <c r="K3" s="30"/>
      <c r="L3" s="91" t="s">
        <v>18</v>
      </c>
      <c r="R3" s="108" t="s">
        <v>130</v>
      </c>
      <c r="S3" s="109"/>
      <c r="T3" s="42"/>
      <c r="U3" s="37"/>
      <c r="V3" s="26"/>
    </row>
    <row r="4" spans="1:25" ht="54.95" customHeight="1" x14ac:dyDescent="0.25">
      <c r="A4" s="17" t="s">
        <v>110</v>
      </c>
      <c r="B4" s="48">
        <f>Masterdata!$B$5</f>
        <v>2025</v>
      </c>
      <c r="C4" s="30"/>
      <c r="D4" s="30"/>
      <c r="E4" s="30"/>
      <c r="F4" s="30"/>
      <c r="G4" s="30"/>
      <c r="H4" s="30"/>
      <c r="I4" s="30"/>
      <c r="J4" s="30"/>
      <c r="K4" s="30"/>
      <c r="L4" s="92" t="s">
        <v>19</v>
      </c>
      <c r="R4" s="110" t="s">
        <v>132</v>
      </c>
      <c r="S4" s="111"/>
      <c r="T4" s="43"/>
      <c r="U4" s="38"/>
      <c r="V4" s="39"/>
    </row>
    <row r="5" spans="1:25" ht="16.5" thickBot="1" x14ac:dyDescent="0.3">
      <c r="A5" s="13" t="s">
        <v>89</v>
      </c>
      <c r="B5" s="18" t="s">
        <v>122</v>
      </c>
      <c r="C5" s="30"/>
      <c r="D5" s="30"/>
      <c r="E5" s="30"/>
      <c r="F5" s="30"/>
      <c r="G5" s="30"/>
      <c r="H5" s="30"/>
      <c r="I5" s="30"/>
      <c r="J5" s="30"/>
      <c r="K5" s="30"/>
      <c r="L5" s="93" t="s">
        <v>118</v>
      </c>
      <c r="M5" s="94"/>
      <c r="N5" s="94"/>
      <c r="O5" s="94"/>
      <c r="P5" s="94"/>
      <c r="Q5" s="94"/>
      <c r="R5" s="112" t="s">
        <v>119</v>
      </c>
      <c r="S5" s="113"/>
      <c r="T5" s="40"/>
      <c r="U5" s="40"/>
      <c r="V5" s="41"/>
    </row>
    <row r="6" spans="1:25" ht="15.75" thickBot="1" x14ac:dyDescent="0.3"/>
    <row r="7" spans="1:25"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R7" s="102" t="s">
        <v>121</v>
      </c>
      <c r="S7" s="103"/>
      <c r="V7" t="s">
        <v>27</v>
      </c>
      <c r="W7">
        <v>5</v>
      </c>
    </row>
    <row r="8" spans="1:25" ht="15.75" x14ac:dyDescent="0.25">
      <c r="A8" s="7">
        <f>WEEKNUM($B8,21)</f>
        <v>5</v>
      </c>
      <c r="B8" s="8">
        <f>DATE(Masterdata!$B$5,2,1)</f>
        <v>45689</v>
      </c>
      <c r="C8" s="9" t="str" cm="1">
        <f t="array" ref="C8">_xlfn.XLOOKUP(E8,Masterdata!$B$31:$B$44,Masterdata!$A$31:$A$44,_xlfn.SWITCH(WEEKDAY($D8, 2), 1, "Monday", 2, "Tuesday", 3, "Wednesday", 4, "Thursday", 5, "Friday", 6, "Saturday", 7, "Sunday"),0)</f>
        <v>Saturday</v>
      </c>
      <c r="D8">
        <f t="shared" ref="D8:D36" si="0">WEEKDAY($B8, 2)+1</f>
        <v>7</v>
      </c>
      <c r="E8" s="19">
        <f>$B8</f>
        <v>45689</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21" t="str">
        <f>LEFT(L8,1)</f>
        <v>0</v>
      </c>
      <c r="N8" s="25" t="str">
        <f>IF($M8="-",LEFT($L8,3),LEFT($L8,2))</f>
        <v>0:</v>
      </c>
      <c r="O8" s="20" t="str">
        <f>IF($M8="-",MID($L8,5,2),MID($L8,4,2))</f>
        <v>0</v>
      </c>
      <c r="P8" s="24">
        <f>O8/60</f>
        <v>0</v>
      </c>
      <c r="Q8" s="2">
        <f>IF(M8="-",N8-P8,N8+P8)</f>
        <v>0</v>
      </c>
      <c r="R8" s="101"/>
      <c r="S8" s="101"/>
      <c r="V8" t="s">
        <v>28</v>
      </c>
      <c r="W8" s="1">
        <f>B1/W7</f>
        <v>7.4</v>
      </c>
      <c r="X8">
        <v>0</v>
      </c>
      <c r="Y8" s="3"/>
    </row>
    <row r="9" spans="1:25" ht="15.75" x14ac:dyDescent="0.25">
      <c r="A9" s="7">
        <f t="shared" ref="A9:A36" si="1">WEEKNUM($B9,21)</f>
        <v>5</v>
      </c>
      <c r="B9" s="8">
        <f>B8+1</f>
        <v>45690</v>
      </c>
      <c r="C9" s="9" t="str" cm="1">
        <f t="array" ref="C9">_xlfn.XLOOKUP(E9,Masterdata!$B$31:$B$44,Masterdata!$A$31:$A$44,_xlfn.SWITCH(WEEKDAY($D9, 2), 1, "Monday", 2, "Tuesday", 3, "Wednesday", 4, "Thursday", 5, "Friday", 6, "Saturday", 7, "Sunday"),0)</f>
        <v>Sunday</v>
      </c>
      <c r="D9">
        <f t="shared" si="0"/>
        <v>8</v>
      </c>
      <c r="E9" s="19">
        <f t="shared" ref="E9:E36" si="2">$B9</f>
        <v>45690</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v>
      </c>
      <c r="H9" s="11">
        <v>0</v>
      </c>
      <c r="I9" s="11">
        <v>0</v>
      </c>
      <c r="J9" s="11">
        <v>0</v>
      </c>
      <c r="K9" s="27" t="str">
        <f t="shared" ref="K9:K36"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21" t="str">
        <f t="shared" ref="M9:M19" si="4">LEFT(L9,1)</f>
        <v>0</v>
      </c>
      <c r="N9" s="25" t="str">
        <f t="shared" ref="N9:N36" si="5">IF($M9="-",LEFT($L9,3),LEFT($L9,2))</f>
        <v>0:</v>
      </c>
      <c r="O9" s="20" t="str">
        <f t="shared" ref="O9:O36" si="6">IF($M9="-",MID($L9,5,2),MID($L9,4,2))</f>
        <v>0</v>
      </c>
      <c r="P9" s="24">
        <f t="shared" ref="P9:P13" si="7">O9/60</f>
        <v>0</v>
      </c>
      <c r="Q9" s="2">
        <f t="shared" ref="Q9:Q13" si="8">IF(M9="-",N9-P9,N9+P9)</f>
        <v>0</v>
      </c>
      <c r="R9" s="100"/>
      <c r="S9" s="114"/>
      <c r="V9" t="s">
        <v>29</v>
      </c>
      <c r="W9" s="3">
        <f>W8/24</f>
        <v>0.30833333333333335</v>
      </c>
    </row>
    <row r="10" spans="1:25" ht="15.75" x14ac:dyDescent="0.25">
      <c r="A10" s="7">
        <f t="shared" si="1"/>
        <v>6</v>
      </c>
      <c r="B10" s="8">
        <f t="shared" ref="B10:B36" si="9">B9+1</f>
        <v>45691</v>
      </c>
      <c r="C10" s="9" t="str" cm="1">
        <f t="array" ref="C10">_xlfn.XLOOKUP(E10,Masterdata!$B$31:$B$44,Masterdata!$A$31:$A$44,_xlfn.SWITCH(WEEKDAY($D10, 2), 1, "Monday", 2, "Tuesday", 3, "Wednesday", 4, "Thursday", 5, "Friday", 6, "Saturday", 7, "Sunday"),0)</f>
        <v>Monday</v>
      </c>
      <c r="D10">
        <f t="shared" si="0"/>
        <v>2</v>
      </c>
      <c r="E10" s="19">
        <f t="shared" si="2"/>
        <v>45691</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0.30833333333333335</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21" t="str">
        <f t="shared" si="4"/>
        <v>0</v>
      </c>
      <c r="N10" s="25" t="str">
        <f t="shared" si="5"/>
        <v>0:</v>
      </c>
      <c r="O10" s="20" t="str">
        <f t="shared" si="6"/>
        <v>0</v>
      </c>
      <c r="P10" s="24">
        <f t="shared" si="7"/>
        <v>0</v>
      </c>
      <c r="Q10" s="2">
        <f t="shared" si="8"/>
        <v>0</v>
      </c>
      <c r="R10" s="115"/>
      <c r="S10" s="114"/>
      <c r="T10" t="s">
        <v>18</v>
      </c>
      <c r="U10" t="s">
        <v>30</v>
      </c>
      <c r="V10" t="s">
        <v>31</v>
      </c>
      <c r="W10" s="2">
        <f>(B1/37)*160.33</f>
        <v>160.33000000000001</v>
      </c>
    </row>
    <row r="11" spans="1:25" ht="15.75" x14ac:dyDescent="0.25">
      <c r="A11" s="7">
        <f t="shared" si="1"/>
        <v>6</v>
      </c>
      <c r="B11" s="8">
        <f t="shared" si="9"/>
        <v>45692</v>
      </c>
      <c r="C11" s="9" t="str" cm="1">
        <f t="array" ref="C11">_xlfn.XLOOKUP(E11,Masterdata!$B$31:$B$44,Masterdata!$A$31:$A$44,_xlfn.SWITCH(WEEKDAY($D11, 2), 1, "Monday", 2, "Tuesday", 3, "Wednesday", 4, "Thursday", 5, "Friday", 6, "Saturday", 7, "Sunday"),0)</f>
        <v>Tuesday</v>
      </c>
      <c r="D11">
        <f t="shared" si="0"/>
        <v>3</v>
      </c>
      <c r="E11" s="19">
        <f t="shared" si="2"/>
        <v>45692</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0.30833333333333335</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21" t="str">
        <f t="shared" si="4"/>
        <v>0</v>
      </c>
      <c r="N11" s="25" t="str">
        <f t="shared" si="5"/>
        <v>0:</v>
      </c>
      <c r="O11" s="20" t="str">
        <f t="shared" si="6"/>
        <v>0</v>
      </c>
      <c r="P11" s="24">
        <f t="shared" si="7"/>
        <v>0</v>
      </c>
      <c r="Q11" s="2">
        <f t="shared" si="8"/>
        <v>0</v>
      </c>
      <c r="R11" s="115"/>
      <c r="S11" s="114"/>
    </row>
    <row r="12" spans="1:25" ht="15.75" x14ac:dyDescent="0.25">
      <c r="A12" s="7">
        <f t="shared" si="1"/>
        <v>6</v>
      </c>
      <c r="B12" s="8">
        <f t="shared" si="9"/>
        <v>45693</v>
      </c>
      <c r="C12" s="9" t="str" cm="1">
        <f t="array" ref="C12">_xlfn.XLOOKUP(E12,Masterdata!$B$31:$B$44,Masterdata!$A$31:$A$44,_xlfn.SWITCH(WEEKDAY($D12, 2), 1, "Monday", 2, "Tuesday", 3, "Wednesday", 4, "Thursday", 5, "Friday", 6, "Saturday", 7, "Sunday"),0)</f>
        <v>Wednesday</v>
      </c>
      <c r="D12">
        <f t="shared" si="0"/>
        <v>4</v>
      </c>
      <c r="E12" s="19">
        <f t="shared" si="2"/>
        <v>45693</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0.30833333333333335</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21" t="str">
        <f t="shared" si="4"/>
        <v>0</v>
      </c>
      <c r="N12" s="25" t="str">
        <f t="shared" si="5"/>
        <v>0:</v>
      </c>
      <c r="O12" s="20" t="str">
        <f t="shared" si="6"/>
        <v>0</v>
      </c>
      <c r="P12" s="24">
        <f t="shared" si="7"/>
        <v>0</v>
      </c>
      <c r="Q12" s="2">
        <f t="shared" si="8"/>
        <v>0</v>
      </c>
      <c r="R12" s="115"/>
      <c r="S12" s="114"/>
      <c r="W12" s="2"/>
    </row>
    <row r="13" spans="1:25" ht="15.75" x14ac:dyDescent="0.25">
      <c r="A13" s="7">
        <f t="shared" si="1"/>
        <v>6</v>
      </c>
      <c r="B13" s="8">
        <f t="shared" si="9"/>
        <v>45694</v>
      </c>
      <c r="C13" s="9" t="str" cm="1">
        <f t="array" ref="C13">_xlfn.XLOOKUP(E13,Masterdata!$B$31:$B$44,Masterdata!$A$31:$A$44,_xlfn.SWITCH(WEEKDAY($D13, 2), 1, "Monday", 2, "Tuesday", 3, "Wednesday", 4, "Thursday", 5, "Friday", 6, "Saturday", 7, "Sunday"),0)</f>
        <v>Thursday</v>
      </c>
      <c r="D13">
        <f t="shared" si="0"/>
        <v>5</v>
      </c>
      <c r="E13" s="19">
        <f t="shared" si="2"/>
        <v>45694</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0.30833333333333335</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21" t="str">
        <f t="shared" si="4"/>
        <v>0</v>
      </c>
      <c r="N13" s="25" t="str">
        <f t="shared" si="5"/>
        <v>0:</v>
      </c>
      <c r="O13" s="20" t="str">
        <f t="shared" si="6"/>
        <v>0</v>
      </c>
      <c r="P13" s="24">
        <f t="shared" si="7"/>
        <v>0</v>
      </c>
      <c r="Q13" s="2">
        <f t="shared" si="8"/>
        <v>0</v>
      </c>
      <c r="R13" s="100"/>
      <c r="S13" s="100"/>
      <c r="W13" s="16"/>
    </row>
    <row r="14" spans="1:25" ht="15.75" x14ac:dyDescent="0.25">
      <c r="A14" s="7">
        <f t="shared" si="1"/>
        <v>6</v>
      </c>
      <c r="B14" s="8">
        <f t="shared" si="9"/>
        <v>45695</v>
      </c>
      <c r="C14" s="9" t="str" cm="1">
        <f t="array" ref="C14">_xlfn.XLOOKUP(E14,Masterdata!$B$31:$B$44,Masterdata!$A$31:$A$44,_xlfn.SWITCH(WEEKDAY($D14, 2), 1, "Monday", 2, "Tuesday", 3, "Wednesday", 4, "Thursday", 5, "Friday", 6, "Saturday", 7, "Sunday"),0)</f>
        <v>Friday</v>
      </c>
      <c r="D14">
        <f t="shared" si="0"/>
        <v>6</v>
      </c>
      <c r="E14" s="19">
        <f t="shared" si="2"/>
        <v>45695</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0.30833333333333335</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21" t="str">
        <f t="shared" si="4"/>
        <v>0</v>
      </c>
      <c r="N14" s="25" t="str">
        <f t="shared" si="5"/>
        <v>0:</v>
      </c>
      <c r="O14" s="20" t="str">
        <f t="shared" si="6"/>
        <v>0</v>
      </c>
      <c r="P14" s="24">
        <f>O14/60</f>
        <v>0</v>
      </c>
      <c r="Q14" s="2">
        <f>IF(M14="-",N14-P14,N14+P14)</f>
        <v>0</v>
      </c>
      <c r="R14" s="100"/>
      <c r="S14" s="100"/>
    </row>
    <row r="15" spans="1:25" ht="15.75" x14ac:dyDescent="0.25">
      <c r="A15" s="7">
        <f t="shared" si="1"/>
        <v>6</v>
      </c>
      <c r="B15" s="8">
        <f t="shared" si="9"/>
        <v>45696</v>
      </c>
      <c r="C15" s="9" t="str" cm="1">
        <f t="array" ref="C15">_xlfn.XLOOKUP(E15,Masterdata!$B$31:$B$44,Masterdata!$A$31:$A$44,_xlfn.SWITCH(WEEKDAY($D15, 2), 1, "Monday", 2, "Tuesday", 3, "Wednesday", 4, "Thursday", 5, "Friday", 6, "Saturday", 7, "Sunday"),0)</f>
        <v>Saturday</v>
      </c>
      <c r="D15">
        <f t="shared" si="0"/>
        <v>7</v>
      </c>
      <c r="E15" s="19">
        <f t="shared" si="2"/>
        <v>45696</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21" t="str">
        <f t="shared" si="4"/>
        <v>0</v>
      </c>
      <c r="N15" s="25" t="str">
        <f t="shared" si="5"/>
        <v>0:</v>
      </c>
      <c r="O15" s="20" t="str">
        <f t="shared" si="6"/>
        <v>0</v>
      </c>
      <c r="P15" s="24">
        <f t="shared" ref="P15:P35" si="10">O15/60</f>
        <v>0</v>
      </c>
      <c r="Q15" s="2">
        <f t="shared" ref="Q15:Q19" si="11">IF(M15="-",N15-P15,N15+P15)</f>
        <v>0</v>
      </c>
      <c r="R15" s="100"/>
      <c r="S15" s="100"/>
      <c r="T15" t="s">
        <v>32</v>
      </c>
      <c r="U15" t="s">
        <v>33</v>
      </c>
      <c r="V15" t="s">
        <v>34</v>
      </c>
      <c r="W15" s="2">
        <f>W10-W13</f>
        <v>160.33000000000001</v>
      </c>
    </row>
    <row r="16" spans="1:25" ht="15.75" x14ac:dyDescent="0.25">
      <c r="A16" s="7">
        <f t="shared" si="1"/>
        <v>6</v>
      </c>
      <c r="B16" s="8">
        <f t="shared" si="9"/>
        <v>45697</v>
      </c>
      <c r="C16" s="9" t="str" cm="1">
        <f t="array" ref="C16">_xlfn.XLOOKUP(E16,Masterdata!$B$31:$B$44,Masterdata!$A$31:$A$44,_xlfn.SWITCH(WEEKDAY($D16, 2), 1, "Monday", 2, "Tuesday", 3, "Wednesday", 4, "Thursday", 5, "Friday", 6, "Saturday", 7, "Sunday"),0)</f>
        <v>Sunday</v>
      </c>
      <c r="D16">
        <f t="shared" si="0"/>
        <v>8</v>
      </c>
      <c r="E16" s="19">
        <f t="shared" si="2"/>
        <v>45697</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21" t="str">
        <f t="shared" si="4"/>
        <v>0</v>
      </c>
      <c r="N16" s="25" t="str">
        <f t="shared" si="5"/>
        <v>0:</v>
      </c>
      <c r="O16" s="20" t="str">
        <f t="shared" si="6"/>
        <v>0</v>
      </c>
      <c r="P16" s="24">
        <f t="shared" si="10"/>
        <v>0</v>
      </c>
      <c r="Q16" s="2">
        <f t="shared" si="11"/>
        <v>0</v>
      </c>
      <c r="R16" s="100"/>
      <c r="S16" s="100"/>
      <c r="T16" t="s">
        <v>35</v>
      </c>
      <c r="U16" t="s">
        <v>36</v>
      </c>
      <c r="V16" t="s">
        <v>37</v>
      </c>
      <c r="W16" s="2" t="e">
        <f>SUM(#REF!)</f>
        <v>#REF!</v>
      </c>
    </row>
    <row r="17" spans="1:23" ht="15.75" x14ac:dyDescent="0.25">
      <c r="A17" s="7">
        <f t="shared" si="1"/>
        <v>7</v>
      </c>
      <c r="B17" s="8">
        <f t="shared" si="9"/>
        <v>45698</v>
      </c>
      <c r="C17" s="9" t="str" cm="1">
        <f t="array" ref="C17">_xlfn.XLOOKUP(E17,Masterdata!$B$31:$B$44,Masterdata!$A$31:$A$44,_xlfn.SWITCH(WEEKDAY($D17, 2), 1, "Monday", 2, "Tuesday", 3, "Wednesday", 4, "Thursday", 5, "Friday", 6, "Saturday", 7, "Sunday"),0)</f>
        <v>Monday</v>
      </c>
      <c r="D17">
        <f t="shared" si="0"/>
        <v>2</v>
      </c>
      <c r="E17" s="19">
        <f t="shared" si="2"/>
        <v>45698</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0.30833333333333335</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21" t="str">
        <f t="shared" si="4"/>
        <v>0</v>
      </c>
      <c r="N17" s="25" t="str">
        <f t="shared" si="5"/>
        <v>0:</v>
      </c>
      <c r="O17" s="20" t="str">
        <f t="shared" si="6"/>
        <v>0</v>
      </c>
      <c r="P17" s="24">
        <f t="shared" si="10"/>
        <v>0</v>
      </c>
      <c r="Q17" s="2">
        <f t="shared" si="11"/>
        <v>0</v>
      </c>
      <c r="R17" s="100"/>
      <c r="S17" s="100"/>
      <c r="T17" t="s">
        <v>19</v>
      </c>
      <c r="U17" t="s">
        <v>38</v>
      </c>
      <c r="V17" t="s">
        <v>39</v>
      </c>
      <c r="W17" s="2" t="e">
        <f>W15-W16</f>
        <v>#REF!</v>
      </c>
    </row>
    <row r="18" spans="1:23" ht="15.75" x14ac:dyDescent="0.25">
      <c r="A18" s="7">
        <f t="shared" si="1"/>
        <v>7</v>
      </c>
      <c r="B18" s="8">
        <f t="shared" si="9"/>
        <v>45699</v>
      </c>
      <c r="C18" s="9" t="str" cm="1">
        <f t="array" ref="C18">_xlfn.XLOOKUP(E18,Masterdata!$B$31:$B$44,Masterdata!$A$31:$A$44,_xlfn.SWITCH(WEEKDAY($D18, 2), 1, "Monday", 2, "Tuesday", 3, "Wednesday", 4, "Thursday", 5, "Friday", 6, "Saturday", 7, "Sunday"),0)</f>
        <v>Tuesday</v>
      </c>
      <c r="D18">
        <f t="shared" si="0"/>
        <v>3</v>
      </c>
      <c r="E18" s="19">
        <f t="shared" si="2"/>
        <v>45699</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0.30833333333333335</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21" t="str">
        <f t="shared" si="4"/>
        <v>0</v>
      </c>
      <c r="N18" s="25" t="str">
        <f t="shared" si="5"/>
        <v>0:</v>
      </c>
      <c r="O18" s="20" t="str">
        <f t="shared" si="6"/>
        <v>0</v>
      </c>
      <c r="P18" s="24">
        <f t="shared" si="10"/>
        <v>0</v>
      </c>
      <c r="Q18" s="2">
        <f t="shared" si="11"/>
        <v>0</v>
      </c>
      <c r="R18" s="100"/>
      <c r="S18" s="100"/>
      <c r="V18" s="19"/>
    </row>
    <row r="19" spans="1:23" ht="15.75" x14ac:dyDescent="0.25">
      <c r="A19" s="7">
        <f t="shared" si="1"/>
        <v>7</v>
      </c>
      <c r="B19" s="8">
        <f t="shared" si="9"/>
        <v>45700</v>
      </c>
      <c r="C19" s="9" t="str" cm="1">
        <f t="array" ref="C19">_xlfn.XLOOKUP(E19,Masterdata!$B$31:$B$44,Masterdata!$A$31:$A$44,_xlfn.SWITCH(WEEKDAY($D19, 2), 1, "Monday", 2, "Tuesday", 3, "Wednesday", 4, "Thursday", 5, "Friday", 6, "Saturday", 7, "Sunday"),0)</f>
        <v>Wednesday</v>
      </c>
      <c r="D19">
        <f t="shared" si="0"/>
        <v>4</v>
      </c>
      <c r="E19" s="19">
        <f t="shared" si="2"/>
        <v>45700</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0.30833333333333335</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21" t="str">
        <f t="shared" si="4"/>
        <v>0</v>
      </c>
      <c r="N19" s="25" t="str">
        <f t="shared" si="5"/>
        <v>0:</v>
      </c>
      <c r="O19" s="20" t="str">
        <f t="shared" si="6"/>
        <v>0</v>
      </c>
      <c r="P19" s="24">
        <f t="shared" si="10"/>
        <v>0</v>
      </c>
      <c r="Q19" s="2">
        <f t="shared" si="11"/>
        <v>0</v>
      </c>
      <c r="R19" s="100"/>
      <c r="S19" s="100"/>
    </row>
    <row r="20" spans="1:23" ht="15.75" x14ac:dyDescent="0.25">
      <c r="A20" s="7">
        <f t="shared" si="1"/>
        <v>7</v>
      </c>
      <c r="B20" s="8">
        <f t="shared" si="9"/>
        <v>45701</v>
      </c>
      <c r="C20" s="9" t="str" cm="1">
        <f t="array" ref="C20">_xlfn.XLOOKUP(E20,Masterdata!$B$31:$B$44,Masterdata!$A$31:$A$44,_xlfn.SWITCH(WEEKDAY($D20, 2), 1, "Monday", 2, "Tuesday", 3, "Wednesday", 4, "Thursday", 5, "Friday", 6, "Saturday", 7, "Sunday"),0)</f>
        <v>Thursday</v>
      </c>
      <c r="D20">
        <f t="shared" si="0"/>
        <v>5</v>
      </c>
      <c r="E20" s="19">
        <f t="shared" si="2"/>
        <v>45701</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0.30833333333333335</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21" t="str">
        <f>LEFT(L20,1)</f>
        <v>0</v>
      </c>
      <c r="N20" s="25" t="str">
        <f t="shared" si="5"/>
        <v>0:</v>
      </c>
      <c r="O20" s="20" t="str">
        <f t="shared" si="6"/>
        <v>0</v>
      </c>
      <c r="P20" s="24">
        <f t="shared" si="10"/>
        <v>0</v>
      </c>
      <c r="Q20" s="2">
        <f>IF(M20="-",N20-P20,N20+P20)</f>
        <v>0</v>
      </c>
      <c r="R20" s="100"/>
      <c r="S20" s="100"/>
    </row>
    <row r="21" spans="1:23" ht="15.75" x14ac:dyDescent="0.25">
      <c r="A21" s="7">
        <f t="shared" si="1"/>
        <v>7</v>
      </c>
      <c r="B21" s="8">
        <f t="shared" si="9"/>
        <v>45702</v>
      </c>
      <c r="C21" s="9" t="str" cm="1">
        <f t="array" ref="C21">_xlfn.XLOOKUP(E21,Masterdata!$B$31:$B$44,Masterdata!$A$31:$A$44,_xlfn.SWITCH(WEEKDAY($D21, 2), 1, "Monday", 2, "Tuesday", 3, "Wednesday", 4, "Thursday", 5, "Friday", 6, "Saturday", 7, "Sunday"),0)</f>
        <v>Friday</v>
      </c>
      <c r="D21">
        <f t="shared" si="0"/>
        <v>6</v>
      </c>
      <c r="E21" s="19">
        <f t="shared" si="2"/>
        <v>45702</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0.30833333333333335</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21" t="str">
        <f t="shared" ref="M21:M35" si="12">LEFT(L21,1)</f>
        <v>0</v>
      </c>
      <c r="N21" s="25" t="str">
        <f t="shared" si="5"/>
        <v>0:</v>
      </c>
      <c r="O21" s="20" t="str">
        <f t="shared" si="6"/>
        <v>0</v>
      </c>
      <c r="P21" s="24">
        <f t="shared" si="10"/>
        <v>0</v>
      </c>
      <c r="Q21" s="2">
        <f t="shared" ref="Q21:Q35" si="13">IF(M21="-",N21-P21,N21+P21)</f>
        <v>0</v>
      </c>
      <c r="R21" s="100"/>
      <c r="S21" s="100"/>
    </row>
    <row r="22" spans="1:23" ht="15.75" x14ac:dyDescent="0.25">
      <c r="A22" s="7">
        <f t="shared" si="1"/>
        <v>7</v>
      </c>
      <c r="B22" s="8">
        <f t="shared" si="9"/>
        <v>45703</v>
      </c>
      <c r="C22" s="9" t="str" cm="1">
        <f t="array" ref="C22">_xlfn.XLOOKUP(E22,Masterdata!$B$31:$B$44,Masterdata!$A$31:$A$44,_xlfn.SWITCH(WEEKDAY($D22, 2), 1, "Monday", 2, "Tuesday", 3, "Wednesday", 4, "Thursday", 5, "Friday", 6, "Saturday", 7, "Sunday"),0)</f>
        <v>Saturday</v>
      </c>
      <c r="D22">
        <f t="shared" si="0"/>
        <v>7</v>
      </c>
      <c r="E22" s="19">
        <f t="shared" si="2"/>
        <v>45703</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21" t="str">
        <f t="shared" si="12"/>
        <v>0</v>
      </c>
      <c r="N22" s="25" t="str">
        <f t="shared" si="5"/>
        <v>0:</v>
      </c>
      <c r="O22" s="20" t="str">
        <f t="shared" si="6"/>
        <v>0</v>
      </c>
      <c r="P22" s="24">
        <f t="shared" si="10"/>
        <v>0</v>
      </c>
      <c r="Q22" s="2">
        <f t="shared" si="13"/>
        <v>0</v>
      </c>
      <c r="R22" s="100"/>
      <c r="S22" s="100"/>
    </row>
    <row r="23" spans="1:23" ht="15.75" x14ac:dyDescent="0.25">
      <c r="A23" s="7">
        <f t="shared" si="1"/>
        <v>7</v>
      </c>
      <c r="B23" s="8">
        <f t="shared" si="9"/>
        <v>45704</v>
      </c>
      <c r="C23" s="9" t="str" cm="1">
        <f t="array" ref="C23">_xlfn.XLOOKUP(E23,Masterdata!$B$31:$B$44,Masterdata!$A$31:$A$44,_xlfn.SWITCH(WEEKDAY($D23, 2), 1, "Monday", 2, "Tuesday", 3, "Wednesday", 4, "Thursday", 5, "Friday", 6, "Saturday", 7, "Sunday"),0)</f>
        <v>Sunday</v>
      </c>
      <c r="D23">
        <f t="shared" si="0"/>
        <v>8</v>
      </c>
      <c r="E23" s="19">
        <f t="shared" si="2"/>
        <v>45704</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21" t="str">
        <f t="shared" si="12"/>
        <v>0</v>
      </c>
      <c r="N23" s="25" t="str">
        <f t="shared" si="5"/>
        <v>0:</v>
      </c>
      <c r="O23" s="20" t="str">
        <f t="shared" si="6"/>
        <v>0</v>
      </c>
      <c r="P23" s="24">
        <f t="shared" si="10"/>
        <v>0</v>
      </c>
      <c r="Q23" s="2">
        <f t="shared" si="13"/>
        <v>0</v>
      </c>
      <c r="R23" s="100"/>
      <c r="S23" s="100"/>
    </row>
    <row r="24" spans="1:23" ht="15.75" x14ac:dyDescent="0.25">
      <c r="A24" s="7">
        <f t="shared" si="1"/>
        <v>8</v>
      </c>
      <c r="B24" s="8">
        <f t="shared" si="9"/>
        <v>45705</v>
      </c>
      <c r="C24" s="9" t="str" cm="1">
        <f t="array" ref="C24">_xlfn.XLOOKUP(E24,Masterdata!$B$31:$B$44,Masterdata!$A$31:$A$44,_xlfn.SWITCH(WEEKDAY($D24, 2), 1, "Monday", 2, "Tuesday", 3, "Wednesday", 4, "Thursday", 5, "Friday", 6, "Saturday", 7, "Sunday"),0)</f>
        <v>Monday</v>
      </c>
      <c r="D24">
        <f t="shared" si="0"/>
        <v>2</v>
      </c>
      <c r="E24" s="19">
        <f t="shared" si="2"/>
        <v>45705</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0.30833333333333335</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21" t="str">
        <f t="shared" si="12"/>
        <v>0</v>
      </c>
      <c r="N24" s="25" t="str">
        <f t="shared" si="5"/>
        <v>0:</v>
      </c>
      <c r="O24" s="20" t="str">
        <f t="shared" si="6"/>
        <v>0</v>
      </c>
      <c r="P24" s="24">
        <f t="shared" si="10"/>
        <v>0</v>
      </c>
      <c r="Q24" s="2">
        <f t="shared" si="13"/>
        <v>0</v>
      </c>
      <c r="R24" s="100"/>
      <c r="S24" s="100"/>
    </row>
    <row r="25" spans="1:23" ht="15.75" x14ac:dyDescent="0.25">
      <c r="A25" s="7">
        <f t="shared" si="1"/>
        <v>8</v>
      </c>
      <c r="B25" s="8">
        <f t="shared" si="9"/>
        <v>45706</v>
      </c>
      <c r="C25" s="9" t="str" cm="1">
        <f t="array" ref="C25">_xlfn.XLOOKUP(E25,Masterdata!$B$31:$B$44,Masterdata!$A$31:$A$44,_xlfn.SWITCH(WEEKDAY($D25, 2), 1, "Monday", 2, "Tuesday", 3, "Wednesday", 4, "Thursday", 5, "Friday", 6, "Saturday", 7, "Sunday"),0)</f>
        <v>Tuesday</v>
      </c>
      <c r="D25">
        <f t="shared" si="0"/>
        <v>3</v>
      </c>
      <c r="E25" s="19">
        <f t="shared" si="2"/>
        <v>45706</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0.30833333333333335</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21" t="str">
        <f t="shared" si="12"/>
        <v>0</v>
      </c>
      <c r="N25" s="25" t="str">
        <f t="shared" si="5"/>
        <v>0:</v>
      </c>
      <c r="O25" s="20" t="str">
        <f t="shared" si="6"/>
        <v>0</v>
      </c>
      <c r="P25" s="24">
        <f t="shared" si="10"/>
        <v>0</v>
      </c>
      <c r="Q25" s="2">
        <f t="shared" si="13"/>
        <v>0</v>
      </c>
      <c r="R25" s="100"/>
      <c r="S25" s="100"/>
    </row>
    <row r="26" spans="1:23" ht="15.75" x14ac:dyDescent="0.25">
      <c r="A26" s="7">
        <f t="shared" si="1"/>
        <v>8</v>
      </c>
      <c r="B26" s="8">
        <f t="shared" si="9"/>
        <v>45707</v>
      </c>
      <c r="C26" s="9" t="str" cm="1">
        <f t="array" ref="C26">_xlfn.XLOOKUP(E26,Masterdata!$B$31:$B$44,Masterdata!$A$31:$A$44,_xlfn.SWITCH(WEEKDAY($D26, 2), 1, "Monday", 2, "Tuesday", 3, "Wednesday", 4, "Thursday", 5, "Friday", 6, "Saturday", 7, "Sunday"),0)</f>
        <v>Wednesday</v>
      </c>
      <c r="D26">
        <f t="shared" si="0"/>
        <v>4</v>
      </c>
      <c r="E26" s="19">
        <f t="shared" si="2"/>
        <v>45707</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0.30833333333333335</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21" t="str">
        <f t="shared" si="12"/>
        <v>0</v>
      </c>
      <c r="N26" s="25" t="str">
        <f t="shared" si="5"/>
        <v>0:</v>
      </c>
      <c r="O26" s="20" t="str">
        <f t="shared" si="6"/>
        <v>0</v>
      </c>
      <c r="P26" s="24">
        <f t="shared" si="10"/>
        <v>0</v>
      </c>
      <c r="Q26" s="2">
        <f t="shared" si="13"/>
        <v>0</v>
      </c>
      <c r="R26" s="100"/>
      <c r="S26" s="100"/>
    </row>
    <row r="27" spans="1:23" ht="15.75" x14ac:dyDescent="0.25">
      <c r="A27" s="7">
        <f t="shared" si="1"/>
        <v>8</v>
      </c>
      <c r="B27" s="8">
        <f t="shared" si="9"/>
        <v>45708</v>
      </c>
      <c r="C27" s="9" t="str" cm="1">
        <f t="array" ref="C27">_xlfn.XLOOKUP(E27,Masterdata!$B$31:$B$44,Masterdata!$A$31:$A$44,_xlfn.SWITCH(WEEKDAY($D27, 2), 1, "Monday", 2, "Tuesday", 3, "Wednesday", 4, "Thursday", 5, "Friday", 6, "Saturday", 7, "Sunday"),0)</f>
        <v>Thursday</v>
      </c>
      <c r="D27">
        <f t="shared" si="0"/>
        <v>5</v>
      </c>
      <c r="E27" s="19">
        <f t="shared" si="2"/>
        <v>45708</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0.30833333333333335</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21" t="str">
        <f t="shared" si="12"/>
        <v>0</v>
      </c>
      <c r="N27" s="25" t="str">
        <f t="shared" si="5"/>
        <v>0:</v>
      </c>
      <c r="O27" s="20" t="str">
        <f t="shared" si="6"/>
        <v>0</v>
      </c>
      <c r="P27" s="24">
        <f t="shared" si="10"/>
        <v>0</v>
      </c>
      <c r="Q27" s="2">
        <f t="shared" si="13"/>
        <v>0</v>
      </c>
      <c r="R27" s="100"/>
      <c r="S27" s="100"/>
    </row>
    <row r="28" spans="1:23" ht="15.75" x14ac:dyDescent="0.25">
      <c r="A28" s="7">
        <f t="shared" si="1"/>
        <v>8</v>
      </c>
      <c r="B28" s="8">
        <f t="shared" si="9"/>
        <v>45709</v>
      </c>
      <c r="C28" s="9" t="str" cm="1">
        <f t="array" ref="C28">_xlfn.XLOOKUP(E28,Masterdata!$B$31:$B$44,Masterdata!$A$31:$A$44,_xlfn.SWITCH(WEEKDAY($D28, 2), 1, "Monday", 2, "Tuesday", 3, "Wednesday", 4, "Thursday", 5, "Friday", 6, "Saturday", 7, "Sunday"),0)</f>
        <v>Friday</v>
      </c>
      <c r="D28">
        <f t="shared" si="0"/>
        <v>6</v>
      </c>
      <c r="E28" s="19">
        <f t="shared" si="2"/>
        <v>45709</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0.30833333333333335</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21" t="str">
        <f t="shared" si="12"/>
        <v>0</v>
      </c>
      <c r="N28" s="25" t="str">
        <f t="shared" si="5"/>
        <v>0:</v>
      </c>
      <c r="O28" s="20" t="str">
        <f t="shared" si="6"/>
        <v>0</v>
      </c>
      <c r="P28" s="24">
        <f t="shared" si="10"/>
        <v>0</v>
      </c>
      <c r="Q28" s="2">
        <f t="shared" si="13"/>
        <v>0</v>
      </c>
      <c r="R28" s="100"/>
      <c r="S28" s="100"/>
    </row>
    <row r="29" spans="1:23" ht="15.75" x14ac:dyDescent="0.25">
      <c r="A29" s="7">
        <f t="shared" si="1"/>
        <v>8</v>
      </c>
      <c r="B29" s="8">
        <f t="shared" si="9"/>
        <v>45710</v>
      </c>
      <c r="C29" s="9" t="str" cm="1">
        <f t="array" ref="C29">_xlfn.XLOOKUP(E29,Masterdata!$B$31:$B$44,Masterdata!$A$31:$A$44,_xlfn.SWITCH(WEEKDAY($D29, 2), 1, "Monday", 2, "Tuesday", 3, "Wednesday", 4, "Thursday", 5, "Friday", 6, "Saturday", 7, "Sunday"),0)</f>
        <v>Saturday</v>
      </c>
      <c r="D29">
        <f t="shared" si="0"/>
        <v>7</v>
      </c>
      <c r="E29" s="19">
        <f t="shared" si="2"/>
        <v>45710</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21" t="str">
        <f t="shared" si="12"/>
        <v>0</v>
      </c>
      <c r="N29" s="25" t="str">
        <f t="shared" si="5"/>
        <v>0:</v>
      </c>
      <c r="O29" s="20" t="str">
        <f t="shared" si="6"/>
        <v>0</v>
      </c>
      <c r="P29" s="24">
        <f t="shared" si="10"/>
        <v>0</v>
      </c>
      <c r="Q29" s="2">
        <f t="shared" si="13"/>
        <v>0</v>
      </c>
      <c r="R29" s="100"/>
      <c r="S29" s="100"/>
    </row>
    <row r="30" spans="1:23" ht="15.75" x14ac:dyDescent="0.25">
      <c r="A30" s="7">
        <f t="shared" si="1"/>
        <v>8</v>
      </c>
      <c r="B30" s="8">
        <f t="shared" si="9"/>
        <v>45711</v>
      </c>
      <c r="C30" s="9" t="str" cm="1">
        <f t="array" ref="C30">_xlfn.XLOOKUP(E30,Masterdata!$B$31:$B$44,Masterdata!$A$31:$A$44,_xlfn.SWITCH(WEEKDAY($D30, 2), 1, "Monday", 2, "Tuesday", 3, "Wednesday", 4, "Thursday", 5, "Friday", 6, "Saturday", 7, "Sunday"),0)</f>
        <v>Sunday</v>
      </c>
      <c r="D30">
        <f t="shared" si="0"/>
        <v>8</v>
      </c>
      <c r="E30" s="19">
        <f t="shared" si="2"/>
        <v>45711</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21" t="str">
        <f t="shared" si="12"/>
        <v>0</v>
      </c>
      <c r="N30" s="25" t="str">
        <f t="shared" si="5"/>
        <v>0:</v>
      </c>
      <c r="O30" s="20" t="str">
        <f t="shared" si="6"/>
        <v>0</v>
      </c>
      <c r="P30" s="24">
        <f t="shared" si="10"/>
        <v>0</v>
      </c>
      <c r="Q30" s="2">
        <f t="shared" si="13"/>
        <v>0</v>
      </c>
      <c r="R30" s="100"/>
      <c r="S30" s="100"/>
    </row>
    <row r="31" spans="1:23" ht="15.75" x14ac:dyDescent="0.25">
      <c r="A31" s="7">
        <f t="shared" si="1"/>
        <v>9</v>
      </c>
      <c r="B31" s="8">
        <f t="shared" si="9"/>
        <v>45712</v>
      </c>
      <c r="C31" s="9" t="str" cm="1">
        <f t="array" ref="C31">_xlfn.XLOOKUP(E31,Masterdata!$B$31:$B$44,Masterdata!$A$31:$A$44,_xlfn.SWITCH(WEEKDAY($D31, 2), 1, "Monday", 2, "Tuesday", 3, "Wednesday", 4, "Thursday", 5, "Friday", 6, "Saturday", 7, "Sunday"),0)</f>
        <v>Monday</v>
      </c>
      <c r="D31">
        <f t="shared" si="0"/>
        <v>2</v>
      </c>
      <c r="E31" s="19">
        <f t="shared" si="2"/>
        <v>45712</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0.30833333333333335</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21" t="str">
        <f t="shared" si="12"/>
        <v>0</v>
      </c>
      <c r="N31" s="25" t="str">
        <f t="shared" si="5"/>
        <v>0:</v>
      </c>
      <c r="O31" s="20" t="str">
        <f t="shared" si="6"/>
        <v>0</v>
      </c>
      <c r="P31" s="24">
        <f t="shared" si="10"/>
        <v>0</v>
      </c>
      <c r="Q31" s="2">
        <f t="shared" si="13"/>
        <v>0</v>
      </c>
      <c r="R31" s="100"/>
      <c r="S31" s="100"/>
    </row>
    <row r="32" spans="1:23" ht="15.75" x14ac:dyDescent="0.25">
      <c r="A32" s="7">
        <f t="shared" si="1"/>
        <v>9</v>
      </c>
      <c r="B32" s="8">
        <f t="shared" si="9"/>
        <v>45713</v>
      </c>
      <c r="C32" s="9" t="str" cm="1">
        <f t="array" ref="C32">_xlfn.XLOOKUP(E32,Masterdata!$B$31:$B$44,Masterdata!$A$31:$A$44,_xlfn.SWITCH(WEEKDAY($D32, 2), 1, "Monday", 2, "Tuesday", 3, "Wednesday", 4, "Thursday", 5, "Friday", 6, "Saturday", 7, "Sunday"),0)</f>
        <v>Tuesday</v>
      </c>
      <c r="D32">
        <f t="shared" si="0"/>
        <v>3</v>
      </c>
      <c r="E32" s="19">
        <f t="shared" si="2"/>
        <v>45713</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0.30833333333333335</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21" t="str">
        <f t="shared" si="12"/>
        <v>0</v>
      </c>
      <c r="N32" s="25" t="str">
        <f t="shared" si="5"/>
        <v>0:</v>
      </c>
      <c r="O32" s="20" t="str">
        <f t="shared" si="6"/>
        <v>0</v>
      </c>
      <c r="P32" s="24">
        <f t="shared" si="10"/>
        <v>0</v>
      </c>
      <c r="Q32" s="2">
        <f t="shared" si="13"/>
        <v>0</v>
      </c>
      <c r="R32" s="100"/>
      <c r="S32" s="100"/>
    </row>
    <row r="33" spans="1:19" ht="15.75" x14ac:dyDescent="0.25">
      <c r="A33" s="7">
        <f t="shared" si="1"/>
        <v>9</v>
      </c>
      <c r="B33" s="8">
        <f t="shared" si="9"/>
        <v>45714</v>
      </c>
      <c r="C33" s="9" t="str" cm="1">
        <f t="array" ref="C33">_xlfn.XLOOKUP(E33,Masterdata!$B$31:$B$44,Masterdata!$A$31:$A$44,_xlfn.SWITCH(WEEKDAY($D33, 2), 1, "Monday", 2, "Tuesday", 3, "Wednesday", 4, "Thursday", 5, "Friday", 6, "Saturday", 7, "Sunday"),0)</f>
        <v>Wednesday</v>
      </c>
      <c r="D33">
        <f t="shared" si="0"/>
        <v>4</v>
      </c>
      <c r="E33" s="19">
        <f t="shared" si="2"/>
        <v>45714</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0.30833333333333335</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21" t="str">
        <f t="shared" si="12"/>
        <v>0</v>
      </c>
      <c r="N33" s="25" t="str">
        <f t="shared" si="5"/>
        <v>0:</v>
      </c>
      <c r="O33" s="20" t="str">
        <f t="shared" si="6"/>
        <v>0</v>
      </c>
      <c r="P33" s="24">
        <f t="shared" si="10"/>
        <v>0</v>
      </c>
      <c r="Q33" s="2">
        <f t="shared" si="13"/>
        <v>0</v>
      </c>
      <c r="R33" s="100"/>
      <c r="S33" s="100"/>
    </row>
    <row r="34" spans="1:19" ht="15.75" x14ac:dyDescent="0.25">
      <c r="A34" s="7">
        <f t="shared" si="1"/>
        <v>9</v>
      </c>
      <c r="B34" s="8">
        <f t="shared" si="9"/>
        <v>45715</v>
      </c>
      <c r="C34" s="9" t="str" cm="1">
        <f t="array" ref="C34">_xlfn.XLOOKUP(E34,Masterdata!$B$31:$B$44,Masterdata!$A$31:$A$44,_xlfn.SWITCH(WEEKDAY($D34, 2), 1, "Monday", 2, "Tuesday", 3, "Wednesday", 4, "Thursday", 5, "Friday", 6, "Saturday", 7, "Sunday"),0)</f>
        <v>Thursday</v>
      </c>
      <c r="D34">
        <f t="shared" si="0"/>
        <v>5</v>
      </c>
      <c r="E34" s="19">
        <f t="shared" si="2"/>
        <v>45715</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0.30833333333333335</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21" t="str">
        <f t="shared" si="12"/>
        <v>0</v>
      </c>
      <c r="N34" s="25" t="str">
        <f t="shared" si="5"/>
        <v>0:</v>
      </c>
      <c r="O34" s="20" t="str">
        <f t="shared" si="6"/>
        <v>0</v>
      </c>
      <c r="P34" s="24">
        <f t="shared" si="10"/>
        <v>0</v>
      </c>
      <c r="Q34" s="2">
        <f t="shared" si="13"/>
        <v>0</v>
      </c>
      <c r="R34" s="100"/>
      <c r="S34" s="100"/>
    </row>
    <row r="35" spans="1:19" ht="15.75" x14ac:dyDescent="0.25">
      <c r="A35" s="7">
        <f t="shared" si="1"/>
        <v>9</v>
      </c>
      <c r="B35" s="8">
        <f t="shared" si="9"/>
        <v>45716</v>
      </c>
      <c r="C35" s="9" t="str" cm="1">
        <f t="array" ref="C35">_xlfn.XLOOKUP(E35,Masterdata!$B$31:$B$44,Masterdata!$A$31:$A$44,_xlfn.SWITCH(WEEKDAY($D35, 2), 1, "Monday", 2, "Tuesday", 3, "Wednesday", 4, "Thursday", 5, "Friday", 6, "Saturday", 7, "Sunday"),0)</f>
        <v>Friday</v>
      </c>
      <c r="D35">
        <f t="shared" si="0"/>
        <v>6</v>
      </c>
      <c r="E35" s="19">
        <f t="shared" si="2"/>
        <v>45716</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0.30833333333333335</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21" t="str">
        <f t="shared" si="12"/>
        <v>0</v>
      </c>
      <c r="N35" s="25" t="str">
        <f t="shared" si="5"/>
        <v>0:</v>
      </c>
      <c r="O35" s="20" t="str">
        <f t="shared" si="6"/>
        <v>0</v>
      </c>
      <c r="P35" s="24">
        <f t="shared" si="10"/>
        <v>0</v>
      </c>
      <c r="Q35" s="2">
        <f t="shared" si="13"/>
        <v>0</v>
      </c>
      <c r="R35" s="100"/>
      <c r="S35" s="100"/>
    </row>
    <row r="36" spans="1:19" ht="15.75" x14ac:dyDescent="0.25">
      <c r="A36" s="7">
        <f t="shared" si="1"/>
        <v>9</v>
      </c>
      <c r="B36" s="8">
        <f t="shared" si="9"/>
        <v>45717</v>
      </c>
      <c r="C36" s="9" t="str" cm="1">
        <f t="array" ref="C36">_xlfn.XLOOKUP(E36,Masterdata!$B$31:$B$44,Masterdata!$A$31:$A$44,_xlfn.SWITCH(WEEKDAY($D36, 2), 1, "Monday", 2, "Tuesday", 3, "Wednesday", 4, "Thursday", 5, "Friday", 6, "Saturday", 7, "Sunday"),0)</f>
        <v>Saturday</v>
      </c>
      <c r="D36">
        <f t="shared" si="0"/>
        <v>7</v>
      </c>
      <c r="E36" s="19">
        <f t="shared" si="2"/>
        <v>45717</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21" t="str">
        <f t="shared" ref="M36" si="14">LEFT(L36,1)</f>
        <v>0</v>
      </c>
      <c r="N36" s="25" t="str">
        <f t="shared" si="5"/>
        <v>0:</v>
      </c>
      <c r="O36" s="20" t="str">
        <f t="shared" si="6"/>
        <v>0</v>
      </c>
      <c r="P36" s="24">
        <f t="shared" ref="P36" si="15">O36/60</f>
        <v>0</v>
      </c>
      <c r="Q36" s="2">
        <f t="shared" ref="Q36" si="16">IF(M36="-",N36-P36,N36+P36)</f>
        <v>0</v>
      </c>
      <c r="R36" s="100"/>
      <c r="S36" s="100"/>
    </row>
    <row r="37" spans="1:19" x14ac:dyDescent="0.25">
      <c r="Q37" s="2">
        <f>SUM(Q8:Q36)</f>
        <v>0</v>
      </c>
    </row>
  </sheetData>
  <sheetProtection algorithmName="SHA-512" hashValue="VEQA3atf+QSWIQatK7ceLWaYgInyv/7tcif6wC2/+PpH+WnsrfgTc+6299c4xXntS1EP9bOpQSQXvoE0TVRgjg==" saltValue="rOpjle03ZukvKCN9clwa9Q==" spinCount="100000" sheet="1" objects="1" scenarios="1"/>
  <mergeCells count="35">
    <mergeCell ref="R36:S36"/>
    <mergeCell ref="R13:S13"/>
    <mergeCell ref="R1:S1"/>
    <mergeCell ref="R2:S2"/>
    <mergeCell ref="R3:S3"/>
    <mergeCell ref="R4:S4"/>
    <mergeCell ref="R5:S5"/>
    <mergeCell ref="R7:S7"/>
    <mergeCell ref="R8:S8"/>
    <mergeCell ref="R9:S9"/>
    <mergeCell ref="R10:S10"/>
    <mergeCell ref="R11:S11"/>
    <mergeCell ref="R12:S12"/>
    <mergeCell ref="R28:S28"/>
    <mergeCell ref="R14:S14"/>
    <mergeCell ref="R15:S15"/>
    <mergeCell ref="R16:S16"/>
    <mergeCell ref="R17:S17"/>
    <mergeCell ref="R18:S18"/>
    <mergeCell ref="R19:S19"/>
    <mergeCell ref="R20:S20"/>
    <mergeCell ref="R21:S21"/>
    <mergeCell ref="R22:S22"/>
    <mergeCell ref="R23:S23"/>
    <mergeCell ref="R24:S24"/>
    <mergeCell ref="R25:S25"/>
    <mergeCell ref="R26:S26"/>
    <mergeCell ref="R27:S27"/>
    <mergeCell ref="R35:S35"/>
    <mergeCell ref="R29:S29"/>
    <mergeCell ref="R30:S30"/>
    <mergeCell ref="R31:S31"/>
    <mergeCell ref="R32:S32"/>
    <mergeCell ref="R33:S33"/>
    <mergeCell ref="R34:S34"/>
  </mergeCells>
  <conditionalFormatting sqref="A8:G36">
    <cfRule type="expression" dxfId="44" priority="2">
      <formula>NOT(OR($C8="Monday", $C8="Tuesday",$C8="Wednesday",$C8="Thursday",$C8="Friday"))</formula>
    </cfRule>
  </conditionalFormatting>
  <conditionalFormatting sqref="A36:S36">
    <cfRule type="expression" dxfId="43" priority="1">
      <formula>NOT(MONTH($E$36)=2)</formula>
    </cfRule>
  </conditionalFormatting>
  <conditionalFormatting sqref="G8:G36">
    <cfRule type="expression" dxfId="42" priority="3">
      <formula>AND($F8="N", (OR($C8="Monday", $C8="Tuesday",$C8="Wednesday",$C8="Thursday",$C8="Friday")))</formula>
    </cfRule>
  </conditionalFormatting>
  <conditionalFormatting sqref="H8:J36">
    <cfRule type="expression" dxfId="41" priority="20">
      <formula>OR($F8="N")</formula>
    </cfRule>
    <cfRule type="expression" dxfId="40" priority="22">
      <formula>$F8="R"</formula>
    </cfRule>
  </conditionalFormatting>
  <dataValidations count="1">
    <dataValidation type="list" allowBlank="1" showInputMessage="1" showErrorMessage="1" sqref="F8:F36" xr:uid="{8D9FBD4D-ED89-4C11-AF6E-8EC195444955}">
      <formula1>$L$3:$L$4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9653E-963E-48CA-A775-54CACBF8ADD8}">
  <dimension ref="A1:AR77"/>
  <sheetViews>
    <sheetView zoomScale="70" zoomScaleNormal="70" workbookViewId="0">
      <selection activeCell="C1" sqref="C1"/>
    </sheetView>
  </sheetViews>
  <sheetFormatPr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6" width="7.5703125" hidden="1" customWidth="1" outlineLevel="1"/>
    <col min="17" max="17" width="2"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9.140625" collapsed="1"/>
  </cols>
  <sheetData>
    <row r="1" spans="1:44"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51"/>
      <c r="U1" s="51"/>
      <c r="V1" s="51"/>
      <c r="W1" s="30"/>
      <c r="X1" s="30"/>
      <c r="Y1" s="30"/>
      <c r="Z1" s="30"/>
      <c r="AA1" s="30"/>
      <c r="AB1" s="30"/>
      <c r="AC1" s="30"/>
      <c r="AD1" s="30"/>
      <c r="AE1" s="30"/>
      <c r="AF1" s="30"/>
      <c r="AG1" s="30"/>
      <c r="AH1" s="30"/>
      <c r="AI1" s="30"/>
      <c r="AJ1" s="30"/>
      <c r="AK1" s="30"/>
      <c r="AL1" s="30"/>
      <c r="AM1" s="30"/>
      <c r="AN1" s="30"/>
      <c r="AO1" s="30"/>
      <c r="AP1" s="30"/>
      <c r="AQ1" s="30"/>
      <c r="AR1" s="30"/>
    </row>
    <row r="2" spans="1:44" ht="16.5" x14ac:dyDescent="0.3">
      <c r="A2" s="44" t="s">
        <v>92</v>
      </c>
      <c r="B2" s="71" t="str">
        <f>Masterdata!$D$27</f>
        <v>00:00</v>
      </c>
      <c r="C2" s="30"/>
      <c r="D2" s="30"/>
      <c r="E2" s="30"/>
      <c r="F2" s="30"/>
      <c r="G2" s="30"/>
      <c r="H2" s="30"/>
      <c r="I2" s="30"/>
      <c r="J2" s="30"/>
      <c r="K2" s="30"/>
      <c r="L2" s="90"/>
      <c r="R2" s="106"/>
      <c r="S2" s="107"/>
      <c r="T2" s="51"/>
      <c r="U2" s="51"/>
      <c r="V2" s="51"/>
      <c r="W2" s="30"/>
      <c r="X2" s="30"/>
      <c r="Y2" s="30"/>
      <c r="Z2" s="30"/>
      <c r="AA2" s="30"/>
      <c r="AB2" s="30"/>
      <c r="AC2" s="30"/>
      <c r="AD2" s="30"/>
      <c r="AE2" s="30"/>
      <c r="AF2" s="30"/>
      <c r="AG2" s="30"/>
      <c r="AH2" s="30"/>
      <c r="AI2" s="30"/>
      <c r="AJ2" s="30"/>
      <c r="AK2" s="30"/>
      <c r="AL2" s="30"/>
      <c r="AM2" s="30"/>
      <c r="AN2" s="30"/>
      <c r="AO2" s="30"/>
      <c r="AP2" s="30"/>
      <c r="AQ2" s="30"/>
      <c r="AR2" s="30"/>
    </row>
    <row r="3" spans="1:44" ht="31.5" customHeight="1" x14ac:dyDescent="0.25">
      <c r="A3" s="47" t="s">
        <v>109</v>
      </c>
      <c r="B3" s="71" t="str">
        <f>IF(Q39&lt;0,"-"&amp;TEXT(ABS(Q39/24),"[tt]:mm"),TEXT(Q39/24,"[tt]:mm"))</f>
        <v>00:00</v>
      </c>
      <c r="C3" s="30"/>
      <c r="D3" s="30"/>
      <c r="E3" s="30"/>
      <c r="F3" s="30"/>
      <c r="G3" s="30"/>
      <c r="H3" s="30"/>
      <c r="I3" s="30"/>
      <c r="J3" s="30"/>
      <c r="K3" s="30"/>
      <c r="L3" s="91" t="s">
        <v>18</v>
      </c>
      <c r="R3" s="108" t="s">
        <v>130</v>
      </c>
      <c r="S3" s="109"/>
      <c r="T3" s="52"/>
      <c r="U3" s="52"/>
      <c r="V3" s="52"/>
      <c r="W3" s="30"/>
      <c r="X3" s="30"/>
      <c r="Y3" s="30"/>
      <c r="Z3" s="30"/>
      <c r="AA3" s="30"/>
      <c r="AB3" s="30"/>
      <c r="AC3" s="30"/>
      <c r="AD3" s="30"/>
      <c r="AE3" s="30"/>
      <c r="AF3" s="30"/>
      <c r="AG3" s="30"/>
      <c r="AH3" s="30"/>
      <c r="AI3" s="30"/>
      <c r="AJ3" s="30"/>
      <c r="AK3" s="30"/>
      <c r="AL3" s="30"/>
      <c r="AM3" s="30"/>
      <c r="AN3" s="30"/>
      <c r="AO3" s="30"/>
      <c r="AP3" s="30"/>
      <c r="AQ3" s="30"/>
      <c r="AR3" s="30"/>
    </row>
    <row r="4" spans="1:44" ht="54.95" customHeight="1" x14ac:dyDescent="0.25">
      <c r="A4" s="17" t="s">
        <v>110</v>
      </c>
      <c r="B4" s="48">
        <f>Masterdata!$B$5</f>
        <v>2025</v>
      </c>
      <c r="C4" s="30"/>
      <c r="D4" s="30"/>
      <c r="E4" s="30"/>
      <c r="F4" s="30"/>
      <c r="G4" s="30"/>
      <c r="H4" s="30"/>
      <c r="I4" s="30"/>
      <c r="J4" s="30"/>
      <c r="K4" s="30"/>
      <c r="L4" s="92" t="s">
        <v>19</v>
      </c>
      <c r="R4" s="110" t="s">
        <v>132</v>
      </c>
      <c r="S4" s="111"/>
      <c r="T4" s="53"/>
      <c r="U4" s="53"/>
      <c r="V4" s="53"/>
      <c r="W4" s="30"/>
      <c r="X4" s="30"/>
      <c r="Y4" s="30"/>
      <c r="Z4" s="30"/>
      <c r="AA4" s="30"/>
      <c r="AB4" s="30"/>
      <c r="AC4" s="30"/>
      <c r="AD4" s="30"/>
      <c r="AE4" s="30"/>
      <c r="AF4" s="30"/>
      <c r="AG4" s="30"/>
      <c r="AH4" s="30"/>
      <c r="AI4" s="30"/>
      <c r="AJ4" s="30"/>
      <c r="AK4" s="30"/>
      <c r="AL4" s="30"/>
      <c r="AM4" s="30"/>
      <c r="AN4" s="30"/>
      <c r="AO4" s="30"/>
      <c r="AP4" s="30"/>
      <c r="AQ4" s="30"/>
      <c r="AR4" s="30"/>
    </row>
    <row r="5" spans="1:44" ht="16.5" thickBot="1" x14ac:dyDescent="0.3">
      <c r="A5" s="13" t="s">
        <v>89</v>
      </c>
      <c r="B5" s="18" t="s">
        <v>125</v>
      </c>
      <c r="C5" s="30"/>
      <c r="D5" s="30"/>
      <c r="E5" s="30"/>
      <c r="F5" s="30"/>
      <c r="G5" s="30"/>
      <c r="H5" s="30"/>
      <c r="I5" s="30"/>
      <c r="J5" s="30"/>
      <c r="K5" s="30"/>
      <c r="L5" s="93" t="s">
        <v>118</v>
      </c>
      <c r="M5" s="94"/>
      <c r="N5" s="94"/>
      <c r="O5" s="94"/>
      <c r="P5" s="94"/>
      <c r="Q5" s="94"/>
      <c r="R5" s="112" t="s">
        <v>119</v>
      </c>
      <c r="S5" s="113"/>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6.5" thickBot="1"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Q7" s="30"/>
      <c r="R7" s="102" t="s">
        <v>121</v>
      </c>
      <c r="S7" s="103"/>
      <c r="T7" s="30"/>
      <c r="U7" s="30"/>
      <c r="V7" s="30" t="s">
        <v>27</v>
      </c>
      <c r="W7" s="30">
        <v>5</v>
      </c>
      <c r="X7" s="30"/>
      <c r="Y7" s="30"/>
      <c r="Z7" s="30"/>
      <c r="AA7" s="30"/>
      <c r="AB7" s="30"/>
      <c r="AC7" s="30"/>
      <c r="AD7" s="30"/>
      <c r="AE7" s="30"/>
      <c r="AF7" s="30"/>
      <c r="AG7" s="30"/>
      <c r="AH7" s="30"/>
      <c r="AI7" s="30"/>
      <c r="AJ7" s="30"/>
      <c r="AK7" s="30"/>
      <c r="AL7" s="30"/>
      <c r="AM7" s="30"/>
      <c r="AN7" s="30"/>
      <c r="AO7" s="30"/>
      <c r="AP7" s="30"/>
      <c r="AQ7" s="30"/>
      <c r="AR7" s="30"/>
    </row>
    <row r="8" spans="1:44" ht="15.75" x14ac:dyDescent="0.25">
      <c r="A8" s="7">
        <f>WEEKNUM($B8,21)</f>
        <v>9</v>
      </c>
      <c r="B8" s="8">
        <f>DATE(Masterdata!$B$5,3,1)</f>
        <v>45717</v>
      </c>
      <c r="C8" s="9" t="str" cm="1">
        <f t="array" ref="C8">_xlfn.XLOOKUP(E8,Masterdata!$B$31:$B$44,Masterdata!$A$31:$A$44,_xlfn.SWITCH(WEEKDAY($D8, 2), 1, "Monday", 2, "Tuesday", 3, "Wednesday", 4, "Thursday", 5, "Friday", 6, "Saturday", 7, "Sunday"),0)</f>
        <v>Saturday</v>
      </c>
      <c r="D8" s="30">
        <f t="shared" ref="D8:D38" si="0">WEEKDAY($B8, 2)+1</f>
        <v>7</v>
      </c>
      <c r="E8" s="72">
        <f>$B8</f>
        <v>45717</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73" t="str">
        <f>LEFT(L8,1)</f>
        <v>0</v>
      </c>
      <c r="N8" s="25" t="str">
        <f>IF($M8="-",LEFT($L8,3),LEFT($L8,2))</f>
        <v>0:</v>
      </c>
      <c r="O8" s="56" t="str">
        <f>IF($M8="-",MID($L8,5,2),MID($L8,4,2))</f>
        <v>0</v>
      </c>
      <c r="P8" s="57">
        <f>O8/60</f>
        <v>0</v>
      </c>
      <c r="Q8" s="31">
        <f>IF(M8="-",N8-P8,N8+P8)</f>
        <v>0</v>
      </c>
      <c r="R8" s="101"/>
      <c r="S8" s="101"/>
      <c r="T8" s="30"/>
      <c r="U8" s="30"/>
      <c r="V8" s="30" t="s">
        <v>28</v>
      </c>
      <c r="W8" s="74">
        <f>B1/W7</f>
        <v>7.4</v>
      </c>
      <c r="X8" s="30">
        <v>0</v>
      </c>
      <c r="Y8" s="75"/>
      <c r="Z8" s="30"/>
      <c r="AA8" s="30"/>
      <c r="AB8" s="30"/>
      <c r="AC8" s="30"/>
      <c r="AD8" s="30"/>
      <c r="AE8" s="30"/>
      <c r="AF8" s="30"/>
      <c r="AG8" s="30"/>
      <c r="AH8" s="30"/>
      <c r="AI8" s="30"/>
      <c r="AJ8" s="30"/>
      <c r="AK8" s="30"/>
      <c r="AL8" s="30"/>
      <c r="AM8" s="30"/>
      <c r="AN8" s="30"/>
      <c r="AO8" s="30"/>
      <c r="AP8" s="30"/>
      <c r="AQ8" s="30"/>
      <c r="AR8" s="30"/>
    </row>
    <row r="9" spans="1:44" ht="15.75" x14ac:dyDescent="0.25">
      <c r="A9" s="7">
        <f t="shared" ref="A9:A38" si="1">WEEKNUM($B9,21)</f>
        <v>9</v>
      </c>
      <c r="B9" s="8">
        <f>B8+1</f>
        <v>45718</v>
      </c>
      <c r="C9" s="9" t="str" cm="1">
        <f t="array" ref="C9">_xlfn.XLOOKUP(E9,Masterdata!$B$31:$B$44,Masterdata!$A$31:$A$44,_xlfn.SWITCH(WEEKDAY($D9, 2), 1, "Monday", 2, "Tuesday", 3, "Wednesday", 4, "Thursday", 5, "Friday", 6, "Saturday", 7, "Sunday"),0)</f>
        <v>Sunday</v>
      </c>
      <c r="D9" s="30">
        <f t="shared" si="0"/>
        <v>8</v>
      </c>
      <c r="E9" s="72">
        <f t="shared" ref="E9:E38" si="2">$B9</f>
        <v>45718</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v>
      </c>
      <c r="H9" s="11">
        <v>0</v>
      </c>
      <c r="I9" s="11">
        <v>0</v>
      </c>
      <c r="J9" s="11">
        <v>0</v>
      </c>
      <c r="K9" s="27" t="str">
        <f t="shared" ref="K9:K38"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73" t="str">
        <f t="shared" ref="M9:M19" si="4">LEFT(L9,1)</f>
        <v>0</v>
      </c>
      <c r="N9" s="25" t="str">
        <f t="shared" ref="N9:N38" si="5">IF($M9="-",LEFT($L9,3),LEFT($L9,2))</f>
        <v>0:</v>
      </c>
      <c r="O9" s="56" t="str">
        <f t="shared" ref="O9:O38" si="6">IF($M9="-",MID($L9,5,2),MID($L9,4,2))</f>
        <v>0</v>
      </c>
      <c r="P9" s="57">
        <f t="shared" ref="P9:P13" si="7">O9/60</f>
        <v>0</v>
      </c>
      <c r="Q9" s="31">
        <f t="shared" ref="Q9:Q13" si="8">IF(M9="-",N9-P9,N9+P9)</f>
        <v>0</v>
      </c>
      <c r="R9" s="101"/>
      <c r="S9" s="101"/>
      <c r="T9" s="30"/>
      <c r="U9" s="30"/>
      <c r="V9" s="30" t="s">
        <v>29</v>
      </c>
      <c r="W9" s="75">
        <f>W8/24</f>
        <v>0.30833333333333335</v>
      </c>
      <c r="X9" s="30"/>
      <c r="Y9" s="30"/>
      <c r="Z9" s="30"/>
      <c r="AA9" s="30"/>
      <c r="AB9" s="30"/>
      <c r="AC9" s="30"/>
      <c r="AD9" s="30"/>
      <c r="AE9" s="30"/>
      <c r="AF9" s="30"/>
      <c r="AG9" s="30"/>
      <c r="AH9" s="30"/>
      <c r="AI9" s="30"/>
      <c r="AJ9" s="30"/>
      <c r="AK9" s="30"/>
      <c r="AL9" s="30"/>
      <c r="AM9" s="30"/>
      <c r="AN9" s="30"/>
      <c r="AO9" s="30"/>
      <c r="AP9" s="30"/>
      <c r="AQ9" s="30"/>
      <c r="AR9" s="30"/>
    </row>
    <row r="10" spans="1:44" ht="15.75" x14ac:dyDescent="0.25">
      <c r="A10" s="7">
        <f t="shared" si="1"/>
        <v>10</v>
      </c>
      <c r="B10" s="8">
        <f t="shared" ref="B10:B38" si="9">B9+1</f>
        <v>45719</v>
      </c>
      <c r="C10" s="9" t="str" cm="1">
        <f t="array" ref="C10">_xlfn.XLOOKUP(E10,Masterdata!$B$31:$B$44,Masterdata!$A$31:$A$44,_xlfn.SWITCH(WEEKDAY($D10, 2), 1, "Monday", 2, "Tuesday", 3, "Wednesday", 4, "Thursday", 5, "Friday", 6, "Saturday", 7, "Sunday"),0)</f>
        <v>Monday</v>
      </c>
      <c r="D10" s="30">
        <f t="shared" si="0"/>
        <v>2</v>
      </c>
      <c r="E10" s="72">
        <f t="shared" si="2"/>
        <v>45719</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0.30833333333333335</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73" t="str">
        <f t="shared" si="4"/>
        <v>0</v>
      </c>
      <c r="N10" s="25" t="str">
        <f t="shared" si="5"/>
        <v>0:</v>
      </c>
      <c r="O10" s="56" t="str">
        <f t="shared" si="6"/>
        <v>0</v>
      </c>
      <c r="P10" s="57">
        <f t="shared" si="7"/>
        <v>0</v>
      </c>
      <c r="Q10" s="31">
        <f t="shared" si="8"/>
        <v>0</v>
      </c>
      <c r="R10" s="101"/>
      <c r="S10" s="101"/>
      <c r="T10" s="30" t="s">
        <v>18</v>
      </c>
      <c r="U10" s="30" t="s">
        <v>30</v>
      </c>
      <c r="V10" s="30" t="s">
        <v>31</v>
      </c>
      <c r="W10" s="31">
        <f>(B1/37)*160.33</f>
        <v>160.33000000000001</v>
      </c>
      <c r="X10" s="30"/>
      <c r="Y10" s="30"/>
      <c r="Z10" s="30"/>
      <c r="AA10" s="30"/>
      <c r="AB10" s="30"/>
      <c r="AC10" s="30"/>
      <c r="AD10" s="30"/>
      <c r="AE10" s="30"/>
      <c r="AF10" s="30"/>
      <c r="AG10" s="30"/>
      <c r="AH10" s="30"/>
      <c r="AI10" s="30"/>
      <c r="AJ10" s="30"/>
      <c r="AK10" s="30"/>
      <c r="AL10" s="30"/>
      <c r="AM10" s="30"/>
      <c r="AN10" s="30"/>
      <c r="AO10" s="30"/>
      <c r="AP10" s="30"/>
      <c r="AQ10" s="30"/>
      <c r="AR10" s="30"/>
    </row>
    <row r="11" spans="1:44" ht="15.75" x14ac:dyDescent="0.25">
      <c r="A11" s="7">
        <f t="shared" si="1"/>
        <v>10</v>
      </c>
      <c r="B11" s="8">
        <f t="shared" si="9"/>
        <v>45720</v>
      </c>
      <c r="C11" s="9" t="str" cm="1">
        <f t="array" ref="C11">_xlfn.XLOOKUP(E11,Masterdata!$B$31:$B$44,Masterdata!$A$31:$A$44,_xlfn.SWITCH(WEEKDAY($D11, 2), 1, "Monday", 2, "Tuesday", 3, "Wednesday", 4, "Thursday", 5, "Friday", 6, "Saturday", 7, "Sunday"),0)</f>
        <v>Tuesday</v>
      </c>
      <c r="D11" s="30">
        <f t="shared" si="0"/>
        <v>3</v>
      </c>
      <c r="E11" s="72">
        <f t="shared" si="2"/>
        <v>45720</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0.30833333333333335</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73" t="str">
        <f t="shared" si="4"/>
        <v>0</v>
      </c>
      <c r="N11" s="25" t="str">
        <f t="shared" si="5"/>
        <v>0:</v>
      </c>
      <c r="O11" s="56" t="str">
        <f t="shared" si="6"/>
        <v>0</v>
      </c>
      <c r="P11" s="57">
        <f t="shared" si="7"/>
        <v>0</v>
      </c>
      <c r="Q11" s="31">
        <f t="shared" si="8"/>
        <v>0</v>
      </c>
      <c r="R11" s="101"/>
      <c r="S11" s="10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75" x14ac:dyDescent="0.25">
      <c r="A12" s="7">
        <f t="shared" si="1"/>
        <v>10</v>
      </c>
      <c r="B12" s="8">
        <f t="shared" si="9"/>
        <v>45721</v>
      </c>
      <c r="C12" s="9" t="str" cm="1">
        <f t="array" ref="C12">_xlfn.XLOOKUP(E12,Masterdata!$B$31:$B$44,Masterdata!$A$31:$A$44,_xlfn.SWITCH(WEEKDAY($D12, 2), 1, "Monday", 2, "Tuesday", 3, "Wednesday", 4, "Thursday", 5, "Friday", 6, "Saturday", 7, "Sunday"),0)</f>
        <v>Wednesday</v>
      </c>
      <c r="D12" s="30">
        <f t="shared" si="0"/>
        <v>4</v>
      </c>
      <c r="E12" s="72">
        <f t="shared" si="2"/>
        <v>45721</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0.30833333333333335</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73" t="str">
        <f t="shared" si="4"/>
        <v>0</v>
      </c>
      <c r="N12" s="25" t="str">
        <f t="shared" si="5"/>
        <v>0:</v>
      </c>
      <c r="O12" s="56" t="str">
        <f t="shared" si="6"/>
        <v>0</v>
      </c>
      <c r="P12" s="57">
        <f t="shared" si="7"/>
        <v>0</v>
      </c>
      <c r="Q12" s="31">
        <f t="shared" si="8"/>
        <v>0</v>
      </c>
      <c r="R12" s="101"/>
      <c r="S12" s="101"/>
      <c r="T12" s="30"/>
      <c r="U12" s="30"/>
      <c r="V12" s="30"/>
      <c r="W12" s="31"/>
      <c r="X12" s="30"/>
      <c r="Y12" s="30"/>
      <c r="Z12" s="30"/>
      <c r="AA12" s="30"/>
      <c r="AB12" s="30"/>
      <c r="AC12" s="30"/>
      <c r="AD12" s="30"/>
      <c r="AE12" s="30"/>
      <c r="AF12" s="30"/>
      <c r="AG12" s="30"/>
      <c r="AH12" s="30"/>
      <c r="AI12" s="30"/>
      <c r="AJ12" s="30"/>
      <c r="AK12" s="30"/>
      <c r="AL12" s="30"/>
      <c r="AM12" s="30"/>
      <c r="AN12" s="30"/>
      <c r="AO12" s="30"/>
      <c r="AP12" s="30"/>
      <c r="AQ12" s="30"/>
      <c r="AR12" s="30"/>
    </row>
    <row r="13" spans="1:44" ht="15.75" x14ac:dyDescent="0.25">
      <c r="A13" s="7">
        <f t="shared" si="1"/>
        <v>10</v>
      </c>
      <c r="B13" s="8">
        <f t="shared" si="9"/>
        <v>45722</v>
      </c>
      <c r="C13" s="9" t="str" cm="1">
        <f t="array" ref="C13">_xlfn.XLOOKUP(E13,Masterdata!$B$31:$B$44,Masterdata!$A$31:$A$44,_xlfn.SWITCH(WEEKDAY($D13, 2), 1, "Monday", 2, "Tuesday", 3, "Wednesday", 4, "Thursday", 5, "Friday", 6, "Saturday", 7, "Sunday"),0)</f>
        <v>Thursday</v>
      </c>
      <c r="D13" s="30">
        <f t="shared" si="0"/>
        <v>5</v>
      </c>
      <c r="E13" s="72">
        <f t="shared" si="2"/>
        <v>45722</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0.30833333333333335</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73" t="str">
        <f t="shared" si="4"/>
        <v>0</v>
      </c>
      <c r="N13" s="25" t="str">
        <f t="shared" si="5"/>
        <v>0:</v>
      </c>
      <c r="O13" s="56" t="str">
        <f t="shared" si="6"/>
        <v>0</v>
      </c>
      <c r="P13" s="57">
        <f t="shared" si="7"/>
        <v>0</v>
      </c>
      <c r="Q13" s="31">
        <f t="shared" si="8"/>
        <v>0</v>
      </c>
      <c r="R13" s="100"/>
      <c r="S13" s="100"/>
      <c r="T13" s="30"/>
      <c r="U13" s="30"/>
      <c r="V13" s="30"/>
      <c r="W13" s="76"/>
      <c r="X13" s="30"/>
      <c r="Y13" s="30"/>
      <c r="Z13" s="30"/>
      <c r="AA13" s="30"/>
      <c r="AB13" s="30"/>
      <c r="AC13" s="30"/>
      <c r="AD13" s="30"/>
      <c r="AE13" s="30"/>
      <c r="AF13" s="30"/>
      <c r="AG13" s="30"/>
      <c r="AH13" s="30"/>
      <c r="AI13" s="30"/>
      <c r="AJ13" s="30"/>
      <c r="AK13" s="30"/>
      <c r="AL13" s="30"/>
      <c r="AM13" s="30"/>
      <c r="AN13" s="30"/>
      <c r="AO13" s="30"/>
      <c r="AP13" s="30"/>
      <c r="AQ13" s="30"/>
      <c r="AR13" s="30"/>
    </row>
    <row r="14" spans="1:44" ht="15.75" x14ac:dyDescent="0.25">
      <c r="A14" s="7">
        <f t="shared" si="1"/>
        <v>10</v>
      </c>
      <c r="B14" s="8">
        <f t="shared" si="9"/>
        <v>45723</v>
      </c>
      <c r="C14" s="9" t="str" cm="1">
        <f t="array" ref="C14">_xlfn.XLOOKUP(E14,Masterdata!$B$31:$B$44,Masterdata!$A$31:$A$44,_xlfn.SWITCH(WEEKDAY($D14, 2), 1, "Monday", 2, "Tuesday", 3, "Wednesday", 4, "Thursday", 5, "Friday", 6, "Saturday", 7, "Sunday"),0)</f>
        <v>Friday</v>
      </c>
      <c r="D14" s="30">
        <f t="shared" si="0"/>
        <v>6</v>
      </c>
      <c r="E14" s="72">
        <f t="shared" si="2"/>
        <v>45723</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0.30833333333333335</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73" t="str">
        <f t="shared" si="4"/>
        <v>0</v>
      </c>
      <c r="N14" s="25" t="str">
        <f t="shared" si="5"/>
        <v>0:</v>
      </c>
      <c r="O14" s="56" t="str">
        <f t="shared" si="6"/>
        <v>0</v>
      </c>
      <c r="P14" s="57">
        <f>O14/60</f>
        <v>0</v>
      </c>
      <c r="Q14" s="31">
        <f>IF(M14="-",N14-P14,N14+P14)</f>
        <v>0</v>
      </c>
      <c r="R14" s="100"/>
      <c r="S14" s="10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75" x14ac:dyDescent="0.25">
      <c r="A15" s="7">
        <f t="shared" si="1"/>
        <v>10</v>
      </c>
      <c r="B15" s="8">
        <f t="shared" si="9"/>
        <v>45724</v>
      </c>
      <c r="C15" s="9" t="str" cm="1">
        <f t="array" ref="C15">_xlfn.XLOOKUP(E15,Masterdata!$B$31:$B$44,Masterdata!$A$31:$A$44,_xlfn.SWITCH(WEEKDAY($D15, 2), 1, "Monday", 2, "Tuesday", 3, "Wednesday", 4, "Thursday", 5, "Friday", 6, "Saturday", 7, "Sunday"),0)</f>
        <v>Saturday</v>
      </c>
      <c r="D15" s="30">
        <f t="shared" si="0"/>
        <v>7</v>
      </c>
      <c r="E15" s="72">
        <f t="shared" si="2"/>
        <v>45724</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73" t="str">
        <f t="shared" si="4"/>
        <v>0</v>
      </c>
      <c r="N15" s="25" t="str">
        <f t="shared" si="5"/>
        <v>0:</v>
      </c>
      <c r="O15" s="56" t="str">
        <f t="shared" si="6"/>
        <v>0</v>
      </c>
      <c r="P15" s="57">
        <f t="shared" ref="P15:P38" si="10">O15/60</f>
        <v>0</v>
      </c>
      <c r="Q15" s="31">
        <f t="shared" ref="Q15:Q19" si="11">IF(M15="-",N15-P15,N15+P15)</f>
        <v>0</v>
      </c>
      <c r="R15" s="100"/>
      <c r="S15" s="100"/>
      <c r="T15" s="30" t="s">
        <v>32</v>
      </c>
      <c r="U15" s="30" t="s">
        <v>33</v>
      </c>
      <c r="V15" s="30" t="s">
        <v>34</v>
      </c>
      <c r="W15" s="31">
        <f>W10-W13</f>
        <v>160.33000000000001</v>
      </c>
      <c r="X15" s="30"/>
      <c r="Y15" s="30"/>
      <c r="Z15" s="30"/>
      <c r="AA15" s="30"/>
      <c r="AB15" s="30"/>
      <c r="AC15" s="30"/>
      <c r="AD15" s="30"/>
      <c r="AE15" s="30"/>
      <c r="AF15" s="30"/>
      <c r="AG15" s="30"/>
      <c r="AH15" s="30"/>
      <c r="AI15" s="30"/>
      <c r="AJ15" s="30"/>
      <c r="AK15" s="30"/>
      <c r="AL15" s="30"/>
      <c r="AM15" s="30"/>
      <c r="AN15" s="30"/>
      <c r="AO15" s="30"/>
      <c r="AP15" s="30"/>
      <c r="AQ15" s="30"/>
      <c r="AR15" s="30"/>
    </row>
    <row r="16" spans="1:44" ht="15.75" x14ac:dyDescent="0.25">
      <c r="A16" s="7">
        <f t="shared" si="1"/>
        <v>10</v>
      </c>
      <c r="B16" s="8">
        <f t="shared" si="9"/>
        <v>45725</v>
      </c>
      <c r="C16" s="9" t="str" cm="1">
        <f t="array" ref="C16">_xlfn.XLOOKUP(E16,Masterdata!$B$31:$B$44,Masterdata!$A$31:$A$44,_xlfn.SWITCH(WEEKDAY($D16, 2), 1, "Monday", 2, "Tuesday", 3, "Wednesday", 4, "Thursday", 5, "Friday", 6, "Saturday", 7, "Sunday"),0)</f>
        <v>Sunday</v>
      </c>
      <c r="D16" s="30">
        <f t="shared" si="0"/>
        <v>8</v>
      </c>
      <c r="E16" s="72">
        <f t="shared" si="2"/>
        <v>45725</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73" t="str">
        <f t="shared" si="4"/>
        <v>0</v>
      </c>
      <c r="N16" s="25" t="str">
        <f t="shared" si="5"/>
        <v>0:</v>
      </c>
      <c r="O16" s="56" t="str">
        <f t="shared" si="6"/>
        <v>0</v>
      </c>
      <c r="P16" s="57">
        <f t="shared" si="10"/>
        <v>0</v>
      </c>
      <c r="Q16" s="31">
        <f t="shared" si="11"/>
        <v>0</v>
      </c>
      <c r="R16" s="100"/>
      <c r="S16" s="100"/>
      <c r="T16" s="30" t="s">
        <v>35</v>
      </c>
      <c r="U16" s="30" t="s">
        <v>36</v>
      </c>
      <c r="V16" s="30" t="s">
        <v>37</v>
      </c>
      <c r="W16" s="31" t="e">
        <f>SUM(#REF!)</f>
        <v>#REF!</v>
      </c>
      <c r="X16" s="30"/>
      <c r="Y16" s="30"/>
      <c r="Z16" s="30"/>
      <c r="AA16" s="30"/>
      <c r="AB16" s="30"/>
      <c r="AC16" s="30"/>
      <c r="AD16" s="30"/>
      <c r="AE16" s="30"/>
      <c r="AF16" s="30"/>
      <c r="AG16" s="30"/>
      <c r="AH16" s="30"/>
      <c r="AI16" s="30"/>
      <c r="AJ16" s="30"/>
      <c r="AK16" s="30"/>
      <c r="AL16" s="30"/>
      <c r="AM16" s="30"/>
      <c r="AN16" s="30"/>
      <c r="AO16" s="30"/>
      <c r="AP16" s="30"/>
      <c r="AQ16" s="30"/>
      <c r="AR16" s="30"/>
    </row>
    <row r="17" spans="1:44" ht="15.75" x14ac:dyDescent="0.25">
      <c r="A17" s="7">
        <f t="shared" si="1"/>
        <v>11</v>
      </c>
      <c r="B17" s="8">
        <f t="shared" si="9"/>
        <v>45726</v>
      </c>
      <c r="C17" s="9" t="str" cm="1">
        <f t="array" ref="C17">_xlfn.XLOOKUP(E17,Masterdata!$B$31:$B$44,Masterdata!$A$31:$A$44,_xlfn.SWITCH(WEEKDAY($D17, 2), 1, "Monday", 2, "Tuesday", 3, "Wednesday", 4, "Thursday", 5, "Friday", 6, "Saturday", 7, "Sunday"),0)</f>
        <v>Monday</v>
      </c>
      <c r="D17" s="30">
        <f t="shared" si="0"/>
        <v>2</v>
      </c>
      <c r="E17" s="72">
        <f t="shared" si="2"/>
        <v>45726</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0.30833333333333335</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73" t="str">
        <f t="shared" si="4"/>
        <v>0</v>
      </c>
      <c r="N17" s="25" t="str">
        <f t="shared" si="5"/>
        <v>0:</v>
      </c>
      <c r="O17" s="56" t="str">
        <f t="shared" si="6"/>
        <v>0</v>
      </c>
      <c r="P17" s="57">
        <f t="shared" si="10"/>
        <v>0</v>
      </c>
      <c r="Q17" s="31">
        <f t="shared" si="11"/>
        <v>0</v>
      </c>
      <c r="R17" s="100"/>
      <c r="S17" s="100"/>
      <c r="T17" s="30" t="s">
        <v>19</v>
      </c>
      <c r="U17" s="30" t="s">
        <v>38</v>
      </c>
      <c r="V17" s="30" t="s">
        <v>39</v>
      </c>
      <c r="W17" s="31" t="e">
        <f>W15-W16</f>
        <v>#REF!</v>
      </c>
      <c r="X17" s="30"/>
      <c r="Y17" s="30"/>
      <c r="Z17" s="30"/>
      <c r="AA17" s="30"/>
      <c r="AB17" s="30"/>
      <c r="AC17" s="30"/>
      <c r="AD17" s="30"/>
      <c r="AE17" s="30"/>
      <c r="AF17" s="30"/>
      <c r="AG17" s="30"/>
      <c r="AH17" s="30"/>
      <c r="AI17" s="30"/>
      <c r="AJ17" s="30"/>
      <c r="AK17" s="30"/>
      <c r="AL17" s="30"/>
      <c r="AM17" s="30"/>
      <c r="AN17" s="30"/>
      <c r="AO17" s="30"/>
      <c r="AP17" s="30"/>
      <c r="AQ17" s="30"/>
      <c r="AR17" s="30"/>
    </row>
    <row r="18" spans="1:44" ht="15.75" x14ac:dyDescent="0.25">
      <c r="A18" s="7">
        <f t="shared" si="1"/>
        <v>11</v>
      </c>
      <c r="B18" s="8">
        <f t="shared" si="9"/>
        <v>45727</v>
      </c>
      <c r="C18" s="9" t="str" cm="1">
        <f t="array" ref="C18">_xlfn.XLOOKUP(E18,Masterdata!$B$31:$B$44,Masterdata!$A$31:$A$44,_xlfn.SWITCH(WEEKDAY($D18, 2), 1, "Monday", 2, "Tuesday", 3, "Wednesday", 4, "Thursday", 5, "Friday", 6, "Saturday", 7, "Sunday"),0)</f>
        <v>Tuesday</v>
      </c>
      <c r="D18" s="30">
        <f t="shared" si="0"/>
        <v>3</v>
      </c>
      <c r="E18" s="72">
        <f t="shared" si="2"/>
        <v>45727</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0.30833333333333335</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73" t="str">
        <f t="shared" si="4"/>
        <v>0</v>
      </c>
      <c r="N18" s="25" t="str">
        <f t="shared" si="5"/>
        <v>0:</v>
      </c>
      <c r="O18" s="56" t="str">
        <f t="shared" si="6"/>
        <v>0</v>
      </c>
      <c r="P18" s="57">
        <f t="shared" si="10"/>
        <v>0</v>
      </c>
      <c r="Q18" s="31">
        <f t="shared" si="11"/>
        <v>0</v>
      </c>
      <c r="R18" s="100"/>
      <c r="S18" s="100"/>
      <c r="T18" s="30"/>
      <c r="U18" s="30"/>
      <c r="V18" s="72"/>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15.75" x14ac:dyDescent="0.25">
      <c r="A19" s="7">
        <f t="shared" si="1"/>
        <v>11</v>
      </c>
      <c r="B19" s="8">
        <f t="shared" si="9"/>
        <v>45728</v>
      </c>
      <c r="C19" s="9" t="str" cm="1">
        <f t="array" ref="C19">_xlfn.XLOOKUP(E19,Masterdata!$B$31:$B$44,Masterdata!$A$31:$A$44,_xlfn.SWITCH(WEEKDAY($D19, 2), 1, "Monday", 2, "Tuesday", 3, "Wednesday", 4, "Thursday", 5, "Friday", 6, "Saturday", 7, "Sunday"),0)</f>
        <v>Wednesday</v>
      </c>
      <c r="D19" s="30">
        <f t="shared" si="0"/>
        <v>4</v>
      </c>
      <c r="E19" s="72">
        <f t="shared" si="2"/>
        <v>45728</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0.30833333333333335</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73" t="str">
        <f t="shared" si="4"/>
        <v>0</v>
      </c>
      <c r="N19" s="25" t="str">
        <f t="shared" si="5"/>
        <v>0:</v>
      </c>
      <c r="O19" s="56" t="str">
        <f t="shared" si="6"/>
        <v>0</v>
      </c>
      <c r="P19" s="57">
        <f t="shared" si="10"/>
        <v>0</v>
      </c>
      <c r="Q19" s="31">
        <f t="shared" si="11"/>
        <v>0</v>
      </c>
      <c r="R19" s="100"/>
      <c r="S19" s="10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75" x14ac:dyDescent="0.25">
      <c r="A20" s="7">
        <f t="shared" si="1"/>
        <v>11</v>
      </c>
      <c r="B20" s="8">
        <f t="shared" si="9"/>
        <v>45729</v>
      </c>
      <c r="C20" s="9" t="str" cm="1">
        <f t="array" ref="C20">_xlfn.XLOOKUP(E20,Masterdata!$B$31:$B$44,Masterdata!$A$31:$A$44,_xlfn.SWITCH(WEEKDAY($D20, 2), 1, "Monday", 2, "Tuesday", 3, "Wednesday", 4, "Thursday", 5, "Friday", 6, "Saturday", 7, "Sunday"),0)</f>
        <v>Thursday</v>
      </c>
      <c r="D20" s="30">
        <f t="shared" si="0"/>
        <v>5</v>
      </c>
      <c r="E20" s="72">
        <f t="shared" si="2"/>
        <v>45729</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0.30833333333333335</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73" t="str">
        <f>LEFT(L20,1)</f>
        <v>0</v>
      </c>
      <c r="N20" s="25" t="str">
        <f t="shared" si="5"/>
        <v>0:</v>
      </c>
      <c r="O20" s="56" t="str">
        <f t="shared" si="6"/>
        <v>0</v>
      </c>
      <c r="P20" s="57">
        <f t="shared" si="10"/>
        <v>0</v>
      </c>
      <c r="Q20" s="31">
        <f>IF(M20="-",N20-P20,N20+P20)</f>
        <v>0</v>
      </c>
      <c r="R20" s="100"/>
      <c r="S20" s="10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15.75" x14ac:dyDescent="0.25">
      <c r="A21" s="7">
        <f t="shared" si="1"/>
        <v>11</v>
      </c>
      <c r="B21" s="8">
        <f t="shared" si="9"/>
        <v>45730</v>
      </c>
      <c r="C21" s="9" t="str" cm="1">
        <f t="array" ref="C21">_xlfn.XLOOKUP(E21,Masterdata!$B$31:$B$44,Masterdata!$A$31:$A$44,_xlfn.SWITCH(WEEKDAY($D21, 2), 1, "Monday", 2, "Tuesday", 3, "Wednesday", 4, "Thursday", 5, "Friday", 6, "Saturday", 7, "Sunday"),0)</f>
        <v>Friday</v>
      </c>
      <c r="D21" s="30">
        <f t="shared" si="0"/>
        <v>6</v>
      </c>
      <c r="E21" s="72">
        <f t="shared" si="2"/>
        <v>45730</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0.30833333333333335</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73" t="str">
        <f t="shared" ref="M21:M38" si="12">LEFT(L21,1)</f>
        <v>0</v>
      </c>
      <c r="N21" s="25" t="str">
        <f t="shared" si="5"/>
        <v>0:</v>
      </c>
      <c r="O21" s="56" t="str">
        <f t="shared" si="6"/>
        <v>0</v>
      </c>
      <c r="P21" s="57">
        <f t="shared" si="10"/>
        <v>0</v>
      </c>
      <c r="Q21" s="31">
        <f t="shared" ref="Q21:Q38" si="13">IF(M21="-",N21-P21,N21+P21)</f>
        <v>0</v>
      </c>
      <c r="R21" s="100"/>
      <c r="S21" s="10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ht="15.75" x14ac:dyDescent="0.25">
      <c r="A22" s="7">
        <f t="shared" si="1"/>
        <v>11</v>
      </c>
      <c r="B22" s="8">
        <f t="shared" si="9"/>
        <v>45731</v>
      </c>
      <c r="C22" s="9" t="str" cm="1">
        <f t="array" ref="C22">_xlfn.XLOOKUP(E22,Masterdata!$B$31:$B$44,Masterdata!$A$31:$A$44,_xlfn.SWITCH(WEEKDAY($D22, 2), 1, "Monday", 2, "Tuesday", 3, "Wednesday", 4, "Thursday", 5, "Friday", 6, "Saturday", 7, "Sunday"),0)</f>
        <v>Saturday</v>
      </c>
      <c r="D22" s="30">
        <f t="shared" si="0"/>
        <v>7</v>
      </c>
      <c r="E22" s="72">
        <f t="shared" si="2"/>
        <v>45731</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73" t="str">
        <f t="shared" si="12"/>
        <v>0</v>
      </c>
      <c r="N22" s="25" t="str">
        <f t="shared" si="5"/>
        <v>0:</v>
      </c>
      <c r="O22" s="56" t="str">
        <f t="shared" si="6"/>
        <v>0</v>
      </c>
      <c r="P22" s="57">
        <f t="shared" si="10"/>
        <v>0</v>
      </c>
      <c r="Q22" s="31">
        <f t="shared" si="13"/>
        <v>0</v>
      </c>
      <c r="R22" s="100"/>
      <c r="S22" s="10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5.75" x14ac:dyDescent="0.25">
      <c r="A23" s="7">
        <f t="shared" si="1"/>
        <v>11</v>
      </c>
      <c r="B23" s="8">
        <f t="shared" si="9"/>
        <v>45732</v>
      </c>
      <c r="C23" s="9" t="str" cm="1">
        <f t="array" ref="C23">_xlfn.XLOOKUP(E23,Masterdata!$B$31:$B$44,Masterdata!$A$31:$A$44,_xlfn.SWITCH(WEEKDAY($D23, 2), 1, "Monday", 2, "Tuesday", 3, "Wednesday", 4, "Thursday", 5, "Friday", 6, "Saturday", 7, "Sunday"),0)</f>
        <v>Sunday</v>
      </c>
      <c r="D23" s="30">
        <f t="shared" si="0"/>
        <v>8</v>
      </c>
      <c r="E23" s="72">
        <f t="shared" si="2"/>
        <v>45732</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73" t="str">
        <f t="shared" si="12"/>
        <v>0</v>
      </c>
      <c r="N23" s="25" t="str">
        <f t="shared" si="5"/>
        <v>0:</v>
      </c>
      <c r="O23" s="56" t="str">
        <f t="shared" si="6"/>
        <v>0</v>
      </c>
      <c r="P23" s="57">
        <f t="shared" si="10"/>
        <v>0</v>
      </c>
      <c r="Q23" s="31">
        <f t="shared" si="13"/>
        <v>0</v>
      </c>
      <c r="R23" s="100"/>
      <c r="S23" s="10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15.75" x14ac:dyDescent="0.25">
      <c r="A24" s="7">
        <f t="shared" si="1"/>
        <v>12</v>
      </c>
      <c r="B24" s="8">
        <f t="shared" si="9"/>
        <v>45733</v>
      </c>
      <c r="C24" s="9" t="str" cm="1">
        <f t="array" ref="C24">_xlfn.XLOOKUP(E24,Masterdata!$B$31:$B$44,Masterdata!$A$31:$A$44,_xlfn.SWITCH(WEEKDAY($D24, 2), 1, "Monday", 2, "Tuesday", 3, "Wednesday", 4, "Thursday", 5, "Friday", 6, "Saturday", 7, "Sunday"),0)</f>
        <v>Monday</v>
      </c>
      <c r="D24" s="30">
        <f t="shared" si="0"/>
        <v>2</v>
      </c>
      <c r="E24" s="72">
        <f t="shared" si="2"/>
        <v>45733</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0.30833333333333335</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73" t="str">
        <f t="shared" si="12"/>
        <v>0</v>
      </c>
      <c r="N24" s="25" t="str">
        <f t="shared" si="5"/>
        <v>0:</v>
      </c>
      <c r="O24" s="56" t="str">
        <f t="shared" si="6"/>
        <v>0</v>
      </c>
      <c r="P24" s="57">
        <f t="shared" si="10"/>
        <v>0</v>
      </c>
      <c r="Q24" s="31">
        <f t="shared" si="13"/>
        <v>0</v>
      </c>
      <c r="R24" s="100"/>
      <c r="S24" s="10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5.75" x14ac:dyDescent="0.25">
      <c r="A25" s="7">
        <f t="shared" si="1"/>
        <v>12</v>
      </c>
      <c r="B25" s="8">
        <f t="shared" si="9"/>
        <v>45734</v>
      </c>
      <c r="C25" s="9" t="str" cm="1">
        <f t="array" ref="C25">_xlfn.XLOOKUP(E25,Masterdata!$B$31:$B$44,Masterdata!$A$31:$A$44,_xlfn.SWITCH(WEEKDAY($D25, 2), 1, "Monday", 2, "Tuesday", 3, "Wednesday", 4, "Thursday", 5, "Friday", 6, "Saturday", 7, "Sunday"),0)</f>
        <v>Tuesday</v>
      </c>
      <c r="D25" s="30">
        <f t="shared" si="0"/>
        <v>3</v>
      </c>
      <c r="E25" s="72">
        <f t="shared" si="2"/>
        <v>45734</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0.30833333333333335</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73" t="str">
        <f t="shared" si="12"/>
        <v>0</v>
      </c>
      <c r="N25" s="25" t="str">
        <f t="shared" si="5"/>
        <v>0:</v>
      </c>
      <c r="O25" s="56" t="str">
        <f t="shared" si="6"/>
        <v>0</v>
      </c>
      <c r="P25" s="57">
        <f t="shared" si="10"/>
        <v>0</v>
      </c>
      <c r="Q25" s="31">
        <f t="shared" si="13"/>
        <v>0</v>
      </c>
      <c r="R25" s="100"/>
      <c r="S25" s="10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ht="15.75" x14ac:dyDescent="0.25">
      <c r="A26" s="7">
        <f t="shared" si="1"/>
        <v>12</v>
      </c>
      <c r="B26" s="8">
        <f t="shared" si="9"/>
        <v>45735</v>
      </c>
      <c r="C26" s="9" t="str" cm="1">
        <f t="array" ref="C26">_xlfn.XLOOKUP(E26,Masterdata!$B$31:$B$44,Masterdata!$A$31:$A$44,_xlfn.SWITCH(WEEKDAY($D26, 2), 1, "Monday", 2, "Tuesday", 3, "Wednesday", 4, "Thursday", 5, "Friday", 6, "Saturday", 7, "Sunday"),0)</f>
        <v>Wednesday</v>
      </c>
      <c r="D26" s="30">
        <f t="shared" si="0"/>
        <v>4</v>
      </c>
      <c r="E26" s="72">
        <f t="shared" si="2"/>
        <v>45735</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0.30833333333333335</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73" t="str">
        <f t="shared" si="12"/>
        <v>0</v>
      </c>
      <c r="N26" s="25" t="str">
        <f t="shared" si="5"/>
        <v>0:</v>
      </c>
      <c r="O26" s="56" t="str">
        <f t="shared" si="6"/>
        <v>0</v>
      </c>
      <c r="P26" s="57">
        <f t="shared" si="10"/>
        <v>0</v>
      </c>
      <c r="Q26" s="31">
        <f t="shared" si="13"/>
        <v>0</v>
      </c>
      <c r="R26" s="100"/>
      <c r="S26" s="10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5.75" x14ac:dyDescent="0.25">
      <c r="A27" s="7">
        <f t="shared" si="1"/>
        <v>12</v>
      </c>
      <c r="B27" s="8">
        <f t="shared" si="9"/>
        <v>45736</v>
      </c>
      <c r="C27" s="9" t="str" cm="1">
        <f t="array" ref="C27">_xlfn.XLOOKUP(E27,Masterdata!$B$31:$B$44,Masterdata!$A$31:$A$44,_xlfn.SWITCH(WEEKDAY($D27, 2), 1, "Monday", 2, "Tuesday", 3, "Wednesday", 4, "Thursday", 5, "Friday", 6, "Saturday", 7, "Sunday"),0)</f>
        <v>Thursday</v>
      </c>
      <c r="D27" s="30">
        <f t="shared" si="0"/>
        <v>5</v>
      </c>
      <c r="E27" s="72">
        <f t="shared" si="2"/>
        <v>45736</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0.30833333333333335</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73" t="str">
        <f t="shared" si="12"/>
        <v>0</v>
      </c>
      <c r="N27" s="25" t="str">
        <f t="shared" si="5"/>
        <v>0:</v>
      </c>
      <c r="O27" s="56" t="str">
        <f t="shared" si="6"/>
        <v>0</v>
      </c>
      <c r="P27" s="57">
        <f t="shared" si="10"/>
        <v>0</v>
      </c>
      <c r="Q27" s="31">
        <f t="shared" si="13"/>
        <v>0</v>
      </c>
      <c r="R27" s="100"/>
      <c r="S27" s="10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ht="15.75" x14ac:dyDescent="0.25">
      <c r="A28" s="7">
        <f t="shared" si="1"/>
        <v>12</v>
      </c>
      <c r="B28" s="8">
        <f t="shared" si="9"/>
        <v>45737</v>
      </c>
      <c r="C28" s="9" t="str" cm="1">
        <f t="array" ref="C28">_xlfn.XLOOKUP(E28,Masterdata!$B$31:$B$44,Masterdata!$A$31:$A$44,_xlfn.SWITCH(WEEKDAY($D28, 2), 1, "Monday", 2, "Tuesday", 3, "Wednesday", 4, "Thursday", 5, "Friday", 6, "Saturday", 7, "Sunday"),0)</f>
        <v>Friday</v>
      </c>
      <c r="D28" s="30">
        <f t="shared" si="0"/>
        <v>6</v>
      </c>
      <c r="E28" s="72">
        <f t="shared" si="2"/>
        <v>45737</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0.30833333333333335</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73" t="str">
        <f t="shared" si="12"/>
        <v>0</v>
      </c>
      <c r="N28" s="25" t="str">
        <f t="shared" si="5"/>
        <v>0:</v>
      </c>
      <c r="O28" s="56" t="str">
        <f t="shared" si="6"/>
        <v>0</v>
      </c>
      <c r="P28" s="57">
        <f t="shared" si="10"/>
        <v>0</v>
      </c>
      <c r="Q28" s="31">
        <f t="shared" si="13"/>
        <v>0</v>
      </c>
      <c r="R28" s="100"/>
      <c r="S28" s="10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5.75" x14ac:dyDescent="0.25">
      <c r="A29" s="7">
        <f t="shared" si="1"/>
        <v>12</v>
      </c>
      <c r="B29" s="8">
        <f t="shared" si="9"/>
        <v>45738</v>
      </c>
      <c r="C29" s="9" t="str" cm="1">
        <f t="array" ref="C29">_xlfn.XLOOKUP(E29,Masterdata!$B$31:$B$44,Masterdata!$A$31:$A$44,_xlfn.SWITCH(WEEKDAY($D29, 2), 1, "Monday", 2, "Tuesday", 3, "Wednesday", 4, "Thursday", 5, "Friday", 6, "Saturday", 7, "Sunday"),0)</f>
        <v>Saturday</v>
      </c>
      <c r="D29" s="30">
        <f t="shared" si="0"/>
        <v>7</v>
      </c>
      <c r="E29" s="72">
        <f t="shared" si="2"/>
        <v>45738</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73" t="str">
        <f t="shared" si="12"/>
        <v>0</v>
      </c>
      <c r="N29" s="25" t="str">
        <f t="shared" si="5"/>
        <v>0:</v>
      </c>
      <c r="O29" s="56" t="str">
        <f t="shared" si="6"/>
        <v>0</v>
      </c>
      <c r="P29" s="57">
        <f t="shared" si="10"/>
        <v>0</v>
      </c>
      <c r="Q29" s="31">
        <f t="shared" si="13"/>
        <v>0</v>
      </c>
      <c r="R29" s="100"/>
      <c r="S29" s="10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ht="15.75" x14ac:dyDescent="0.25">
      <c r="A30" s="7">
        <f t="shared" si="1"/>
        <v>12</v>
      </c>
      <c r="B30" s="8">
        <f t="shared" si="9"/>
        <v>45739</v>
      </c>
      <c r="C30" s="9" t="str" cm="1">
        <f t="array" ref="C30">_xlfn.XLOOKUP(E30,Masterdata!$B$31:$B$44,Masterdata!$A$31:$A$44,_xlfn.SWITCH(WEEKDAY($D30, 2), 1, "Monday", 2, "Tuesday", 3, "Wednesday", 4, "Thursday", 5, "Friday", 6, "Saturday", 7, "Sunday"),0)</f>
        <v>Sunday</v>
      </c>
      <c r="D30" s="30">
        <f t="shared" si="0"/>
        <v>8</v>
      </c>
      <c r="E30" s="72">
        <f t="shared" si="2"/>
        <v>45739</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73" t="str">
        <f t="shared" si="12"/>
        <v>0</v>
      </c>
      <c r="N30" s="25" t="str">
        <f t="shared" si="5"/>
        <v>0:</v>
      </c>
      <c r="O30" s="56" t="str">
        <f t="shared" si="6"/>
        <v>0</v>
      </c>
      <c r="P30" s="57">
        <f t="shared" si="10"/>
        <v>0</v>
      </c>
      <c r="Q30" s="31">
        <f t="shared" si="13"/>
        <v>0</v>
      </c>
      <c r="R30" s="100"/>
      <c r="S30" s="10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5.75" x14ac:dyDescent="0.25">
      <c r="A31" s="7">
        <f t="shared" si="1"/>
        <v>13</v>
      </c>
      <c r="B31" s="8">
        <f t="shared" si="9"/>
        <v>45740</v>
      </c>
      <c r="C31" s="9" t="str" cm="1">
        <f t="array" ref="C31">_xlfn.XLOOKUP(E31,Masterdata!$B$31:$B$44,Masterdata!$A$31:$A$44,_xlfn.SWITCH(WEEKDAY($D31, 2), 1, "Monday", 2, "Tuesday", 3, "Wednesday", 4, "Thursday", 5, "Friday", 6, "Saturday", 7, "Sunday"),0)</f>
        <v>Monday</v>
      </c>
      <c r="D31" s="30">
        <f t="shared" si="0"/>
        <v>2</v>
      </c>
      <c r="E31" s="72">
        <f t="shared" si="2"/>
        <v>45740</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0.30833333333333335</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73" t="str">
        <f t="shared" si="12"/>
        <v>0</v>
      </c>
      <c r="N31" s="25" t="str">
        <f t="shared" si="5"/>
        <v>0:</v>
      </c>
      <c r="O31" s="56" t="str">
        <f t="shared" si="6"/>
        <v>0</v>
      </c>
      <c r="P31" s="57">
        <f t="shared" si="10"/>
        <v>0</v>
      </c>
      <c r="Q31" s="31">
        <f t="shared" si="13"/>
        <v>0</v>
      </c>
      <c r="R31" s="100"/>
      <c r="S31" s="10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15.75" x14ac:dyDescent="0.25">
      <c r="A32" s="7">
        <f t="shared" si="1"/>
        <v>13</v>
      </c>
      <c r="B32" s="8">
        <f t="shared" si="9"/>
        <v>45741</v>
      </c>
      <c r="C32" s="9" t="str" cm="1">
        <f t="array" ref="C32">_xlfn.XLOOKUP(E32,Masterdata!$B$31:$B$44,Masterdata!$A$31:$A$44,_xlfn.SWITCH(WEEKDAY($D32, 2), 1, "Monday", 2, "Tuesday", 3, "Wednesday", 4, "Thursday", 5, "Friday", 6, "Saturday", 7, "Sunday"),0)</f>
        <v>Tuesday</v>
      </c>
      <c r="D32" s="30">
        <f t="shared" si="0"/>
        <v>3</v>
      </c>
      <c r="E32" s="72">
        <f t="shared" si="2"/>
        <v>45741</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0.30833333333333335</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73" t="str">
        <f t="shared" si="12"/>
        <v>0</v>
      </c>
      <c r="N32" s="25" t="str">
        <f t="shared" si="5"/>
        <v>0:</v>
      </c>
      <c r="O32" s="56" t="str">
        <f t="shared" si="6"/>
        <v>0</v>
      </c>
      <c r="P32" s="57">
        <f t="shared" si="10"/>
        <v>0</v>
      </c>
      <c r="Q32" s="31">
        <f t="shared" si="13"/>
        <v>0</v>
      </c>
      <c r="R32" s="100"/>
      <c r="S32" s="10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5.75" x14ac:dyDescent="0.25">
      <c r="A33" s="7">
        <f t="shared" si="1"/>
        <v>13</v>
      </c>
      <c r="B33" s="8">
        <f t="shared" si="9"/>
        <v>45742</v>
      </c>
      <c r="C33" s="9" t="str" cm="1">
        <f t="array" ref="C33">_xlfn.XLOOKUP(E33,Masterdata!$B$31:$B$44,Masterdata!$A$31:$A$44,_xlfn.SWITCH(WEEKDAY($D33, 2), 1, "Monday", 2, "Tuesday", 3, "Wednesday", 4, "Thursday", 5, "Friday", 6, "Saturday", 7, "Sunday"),0)</f>
        <v>Wednesday</v>
      </c>
      <c r="D33" s="30">
        <f t="shared" si="0"/>
        <v>4</v>
      </c>
      <c r="E33" s="72">
        <f t="shared" si="2"/>
        <v>45742</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0.30833333333333335</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73" t="str">
        <f t="shared" si="12"/>
        <v>0</v>
      </c>
      <c r="N33" s="25" t="str">
        <f t="shared" si="5"/>
        <v>0:</v>
      </c>
      <c r="O33" s="56" t="str">
        <f t="shared" si="6"/>
        <v>0</v>
      </c>
      <c r="P33" s="57">
        <f t="shared" si="10"/>
        <v>0</v>
      </c>
      <c r="Q33" s="31">
        <f t="shared" si="13"/>
        <v>0</v>
      </c>
      <c r="R33" s="100"/>
      <c r="S33" s="10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15.75" x14ac:dyDescent="0.25">
      <c r="A34" s="7">
        <f t="shared" si="1"/>
        <v>13</v>
      </c>
      <c r="B34" s="8">
        <f t="shared" si="9"/>
        <v>45743</v>
      </c>
      <c r="C34" s="9" t="str" cm="1">
        <f t="array" ref="C34">_xlfn.XLOOKUP(E34,Masterdata!$B$31:$B$44,Masterdata!$A$31:$A$44,_xlfn.SWITCH(WEEKDAY($D34, 2), 1, "Monday", 2, "Tuesday", 3, "Wednesday", 4, "Thursday", 5, "Friday", 6, "Saturday", 7, "Sunday"),0)</f>
        <v>Thursday</v>
      </c>
      <c r="D34" s="30">
        <f t="shared" si="0"/>
        <v>5</v>
      </c>
      <c r="E34" s="72">
        <f t="shared" si="2"/>
        <v>45743</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0.30833333333333335</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73" t="str">
        <f t="shared" si="12"/>
        <v>0</v>
      </c>
      <c r="N34" s="25" t="str">
        <f t="shared" si="5"/>
        <v>0:</v>
      </c>
      <c r="O34" s="56" t="str">
        <f t="shared" si="6"/>
        <v>0</v>
      </c>
      <c r="P34" s="57">
        <f t="shared" si="10"/>
        <v>0</v>
      </c>
      <c r="Q34" s="31">
        <f t="shared" si="13"/>
        <v>0</v>
      </c>
      <c r="R34" s="100"/>
      <c r="S34" s="10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5.75" x14ac:dyDescent="0.25">
      <c r="A35" s="7">
        <f t="shared" si="1"/>
        <v>13</v>
      </c>
      <c r="B35" s="8">
        <f t="shared" si="9"/>
        <v>45744</v>
      </c>
      <c r="C35" s="9" t="str" cm="1">
        <f t="array" ref="C35">_xlfn.XLOOKUP(E35,Masterdata!$B$31:$B$44,Masterdata!$A$31:$A$44,_xlfn.SWITCH(WEEKDAY($D35, 2), 1, "Monday", 2, "Tuesday", 3, "Wednesday", 4, "Thursday", 5, "Friday", 6, "Saturday", 7, "Sunday"),0)</f>
        <v>Friday</v>
      </c>
      <c r="D35" s="30">
        <f t="shared" si="0"/>
        <v>6</v>
      </c>
      <c r="E35" s="72">
        <f t="shared" si="2"/>
        <v>45744</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0.30833333333333335</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73" t="str">
        <f t="shared" si="12"/>
        <v>0</v>
      </c>
      <c r="N35" s="25" t="str">
        <f t="shared" si="5"/>
        <v>0:</v>
      </c>
      <c r="O35" s="56" t="str">
        <f t="shared" si="6"/>
        <v>0</v>
      </c>
      <c r="P35" s="57">
        <f t="shared" si="10"/>
        <v>0</v>
      </c>
      <c r="Q35" s="31">
        <f t="shared" si="13"/>
        <v>0</v>
      </c>
      <c r="R35" s="100"/>
      <c r="S35" s="10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15.75" x14ac:dyDescent="0.25">
      <c r="A36" s="7">
        <f t="shared" si="1"/>
        <v>13</v>
      </c>
      <c r="B36" s="8">
        <f t="shared" si="9"/>
        <v>45745</v>
      </c>
      <c r="C36" s="9" t="str" cm="1">
        <f t="array" ref="C36">_xlfn.XLOOKUP(E36,Masterdata!$B$31:$B$44,Masterdata!$A$31:$A$44,_xlfn.SWITCH(WEEKDAY($D36, 2), 1, "Monday", 2, "Tuesday", 3, "Wednesday", 4, "Thursday", 5, "Friday", 6, "Saturday", 7, "Sunday"),0)</f>
        <v>Saturday</v>
      </c>
      <c r="D36" s="30">
        <f t="shared" si="0"/>
        <v>7</v>
      </c>
      <c r="E36" s="72">
        <f t="shared" si="2"/>
        <v>45745</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73" t="str">
        <f t="shared" si="12"/>
        <v>0</v>
      </c>
      <c r="N36" s="25" t="str">
        <f t="shared" si="5"/>
        <v>0:</v>
      </c>
      <c r="O36" s="56" t="str">
        <f t="shared" si="6"/>
        <v>0</v>
      </c>
      <c r="P36" s="57">
        <f t="shared" si="10"/>
        <v>0</v>
      </c>
      <c r="Q36" s="31">
        <f t="shared" si="13"/>
        <v>0</v>
      </c>
      <c r="R36" s="100"/>
      <c r="S36" s="10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ht="15.75" x14ac:dyDescent="0.25">
      <c r="A37" s="7">
        <f t="shared" si="1"/>
        <v>13</v>
      </c>
      <c r="B37" s="8">
        <f t="shared" si="9"/>
        <v>45746</v>
      </c>
      <c r="C37" s="9" t="str" cm="1">
        <f t="array" ref="C37">_xlfn.XLOOKUP(E37,Masterdata!$B$31:$B$44,Masterdata!$A$31:$A$44,_xlfn.SWITCH(WEEKDAY($D37, 2), 1, "Monday", 2, "Tuesday", 3, "Wednesday", 4, "Thursday", 5, "Friday", 6, "Saturday", 7, "Sunday"),0)</f>
        <v>Sunday</v>
      </c>
      <c r="D37" s="30">
        <f t="shared" si="0"/>
        <v>8</v>
      </c>
      <c r="E37" s="72">
        <f t="shared" si="2"/>
        <v>45746</v>
      </c>
      <c r="F37" s="10" t="s">
        <v>18</v>
      </c>
      <c r="G37" s="12">
        <f>IF(AND(F37="N",NOT(OR($C37="Monday", $C37="Tuesday",$C37="Wednesday",$C37="Thursday",$C37="Friday"))),0,IFERROR(
    IF($F37="N", $W$9,
        IF(OR(
            AND(Masterdata!$B$4&lt;&gt;DATE(1900,1,0), Masterdata!$B$4&lt;$E37),
            AND(Masterdata!$B$3&lt;&gt;DATE(1900,1,0), Masterdata!$B$3&gt;$E37)
        ),
        IF($H37&gt;=TIME(0,0,0), "Type in next cell", 0),
        IF($H37&gt;=TIME(0,0,0), "Type in next cell",
            IF($H37&gt;=0, 0,
                IF(NOT(OR($C37="Monday", $C37="Tuesday",$C37="Wednesday",$C37="Thursday",$C37="Friday")), 0, 0)
            )
        )
    )),
"Type in next cell"))</f>
        <v>0</v>
      </c>
      <c r="H37" s="11">
        <v>0</v>
      </c>
      <c r="I37" s="11">
        <v>0</v>
      </c>
      <c r="J37" s="11">
        <v>0</v>
      </c>
      <c r="K37" s="27" t="str">
        <f t="shared" si="3"/>
        <v>00:00</v>
      </c>
      <c r="L37" s="27" t="str">
        <f>IF(F37="N","0:00",IF(
OR(
AND(Masterdata!$B$4&lt;&gt;DATE(1900,1,0),Masterdata!$B$4&lt;$E37),
AND(Masterdata!$B$3&lt;&gt;DATE(1900,1,0),Masterdata!$B$3&gt;$E37)
),
"0:00",
IF(
$H37&gt;TIME(0,0,0),
IF(
NOT(OR($C37="Monday", $C37="Tuesday",$C37="Wednesday",$C37="Thursday",$C37="Friday")),
TEXT($H37,"[tt]:mm"),
IF($H37-$W$9&gt;=0,TEXT($H37-$W$9,"[tt]:mm"),"-"&amp;TEXT(ABS($H37-$W$9),"[tt]:mm"))
),
IF(
NOT(OR($C37="Monday", $C37="Tuesday",$C37="Wednesday",$C37="Thursday",$C37="Friday")),
IF($J37-$I37&gt;=0,TEXT($J37-$I37,"[tt]:mm"),"-"&amp;TEXT(ABS($J37-$I37),"[tt]:mm")),
IFERROR(
IF($G37-$W$9=0,
IF($G37-$W$9&gt;=0,TEXT($G37-$W$9,"[tt]:mm"),"-"&amp;TEXT(ABS($G37-$W$9),"[tt]:mm")),
IF($J37-$I37&gt;=0,TEXT($J37-$I37,"[tt]:mm"),"-"&amp;TEXT(ABS($J37-$I37),"[tt]:mm"))
),
IF(
$J37-$I37-$W$9&gt;=0,
TEXT($J37-$I37-$W$9,"[tt]:mm"),
"-"&amp;TEXT(ABS($J37-$I37-$W$9),"[tt]:mm")
)
)
)
)
))</f>
        <v>0:00</v>
      </c>
      <c r="M37" s="73" t="str">
        <f t="shared" si="12"/>
        <v>0</v>
      </c>
      <c r="N37" s="25" t="str">
        <f t="shared" si="5"/>
        <v>0:</v>
      </c>
      <c r="O37" s="56" t="str">
        <f t="shared" si="6"/>
        <v>0</v>
      </c>
      <c r="P37" s="57">
        <f t="shared" si="10"/>
        <v>0</v>
      </c>
      <c r="Q37" s="31">
        <f t="shared" si="13"/>
        <v>0</v>
      </c>
      <c r="R37" s="100"/>
      <c r="S37" s="10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15.75" x14ac:dyDescent="0.25">
      <c r="A38" s="7">
        <f t="shared" si="1"/>
        <v>14</v>
      </c>
      <c r="B38" s="8">
        <f t="shared" si="9"/>
        <v>45747</v>
      </c>
      <c r="C38" s="9" t="str" cm="1">
        <f t="array" ref="C38">_xlfn.XLOOKUP(E38,Masterdata!$B$31:$B$44,Masterdata!$A$31:$A$44,_xlfn.SWITCH(WEEKDAY($D38, 2), 1, "Monday", 2, "Tuesday", 3, "Wednesday", 4, "Thursday", 5, "Friday", 6, "Saturday", 7, "Sunday"),0)</f>
        <v>Monday</v>
      </c>
      <c r="D38" s="30">
        <f t="shared" si="0"/>
        <v>2</v>
      </c>
      <c r="E38" s="72">
        <f t="shared" si="2"/>
        <v>45747</v>
      </c>
      <c r="F38" s="10" t="s">
        <v>18</v>
      </c>
      <c r="G38" s="12">
        <f>IF(AND(F38="N",NOT(OR($C38="Monday", $C38="Tuesday",$C38="Wednesday",$C38="Thursday",$C38="Friday"))),0,IFERROR(
    IF($F38="N", $W$9,
        IF(OR(
            AND(Masterdata!$B$4&lt;&gt;DATE(1900,1,0), Masterdata!$B$4&lt;$E38),
            AND(Masterdata!$B$3&lt;&gt;DATE(1900,1,0), Masterdata!$B$3&gt;$E38)
        ),
        IF($H38&gt;=TIME(0,0,0), "Type in next cell", 0),
        IF($H38&gt;=TIME(0,0,0), "Type in next cell",
            IF($H38&gt;=0, 0,
                IF(NOT(OR($C38="Monday", $C38="Tuesday",$C38="Wednesday",$C38="Thursday",$C38="Friday")), 0, 0)
            )
        )
    )),
"Type in next cell"))</f>
        <v>0.30833333333333335</v>
      </c>
      <c r="H38" s="11">
        <v>0</v>
      </c>
      <c r="I38" s="11">
        <v>0</v>
      </c>
      <c r="J38" s="11">
        <v>0</v>
      </c>
      <c r="K38" s="27" t="str">
        <f t="shared" si="3"/>
        <v>00:00</v>
      </c>
      <c r="L38" s="27" t="str">
        <f>IF(F38="N","0:00",IF(
OR(
AND(Masterdata!$B$4&lt;&gt;DATE(1900,1,0),Masterdata!$B$4&lt;$E38),
AND(Masterdata!$B$3&lt;&gt;DATE(1900,1,0),Masterdata!$B$3&gt;$E38)
),
"0:00",
IF(
$H38&gt;TIME(0,0,0),
IF(
NOT(OR($C38="Monday", $C38="Tuesday",$C38="Wednesday",$C38="Thursday",$C38="Friday")),
TEXT($H38,"[tt]:mm"),
IF($H38-$W$9&gt;=0,TEXT($H38-$W$9,"[tt]:mm"),"-"&amp;TEXT(ABS($H38-$W$9),"[tt]:mm"))
),
IF(
NOT(OR($C38="Monday", $C38="Tuesday",$C38="Wednesday",$C38="Thursday",$C38="Friday")),
IF($J38-$I38&gt;=0,TEXT($J38-$I38,"[tt]:mm"),"-"&amp;TEXT(ABS($J38-$I38),"[tt]:mm")),
IFERROR(
IF($G38-$W$9=0,
IF($G38-$W$9&gt;=0,TEXT($G38-$W$9,"[tt]:mm"),"-"&amp;TEXT(ABS($G38-$W$9),"[tt]:mm")),
IF($J38-$I38&gt;=0,TEXT($J38-$I38,"[tt]:mm"),"-"&amp;TEXT(ABS($J38-$I38),"[tt]:mm"))
),
IF(
$J38-$I38-$W$9&gt;=0,
TEXT($J38-$I38-$W$9,"[tt]:mm"),
"-"&amp;TEXT(ABS($J38-$I38-$W$9),"[tt]:mm")
)
)
)
)
))</f>
        <v>0:00</v>
      </c>
      <c r="M38" s="73" t="str">
        <f t="shared" si="12"/>
        <v>0</v>
      </c>
      <c r="N38" s="25" t="str">
        <f t="shared" si="5"/>
        <v>0:</v>
      </c>
      <c r="O38" s="56" t="str">
        <f t="shared" si="6"/>
        <v>0</v>
      </c>
      <c r="P38" s="57">
        <f t="shared" si="10"/>
        <v>0</v>
      </c>
      <c r="Q38" s="31">
        <f t="shared" si="13"/>
        <v>0</v>
      </c>
      <c r="R38" s="100"/>
      <c r="S38" s="10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5.75" x14ac:dyDescent="0.25">
      <c r="A39" s="30"/>
      <c r="B39" s="30"/>
      <c r="C39" s="30"/>
      <c r="D39" s="30"/>
      <c r="E39" s="30"/>
      <c r="F39" s="30"/>
      <c r="G39" s="30"/>
      <c r="H39" s="30"/>
      <c r="I39" s="30"/>
      <c r="J39" s="30"/>
      <c r="K39" s="30"/>
      <c r="L39" s="75"/>
      <c r="M39" s="30"/>
      <c r="N39" s="30"/>
      <c r="O39" s="30"/>
      <c r="P39" s="30"/>
      <c r="Q39" s="31">
        <f>SUM(Q8:Q38)</f>
        <v>0</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15.7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5.7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15.7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ht="15.7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ht="15.7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ht="15.7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ht="15.7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row>
    <row r="50" spans="1:44" ht="15.7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ht="15.7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7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1:44" ht="15.7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44" ht="15.7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ht="15.7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44" ht="15.7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ht="15.7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ht="15.7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ht="15.7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ht="15.7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ht="15.7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ht="15.7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15.7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row>
    <row r="64" spans="1:44" ht="15.7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row>
    <row r="65" spans="1:44" ht="15.7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15.7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5.7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row>
    <row r="68" spans="1:44" ht="15.7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ht="15.7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row>
    <row r="70" spans="1:44" ht="15.7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ht="15.7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15.7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ht="15.7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ht="15.7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ht="15.7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row>
    <row r="76" spans="1:44" ht="15.7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ht="15.75"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row>
  </sheetData>
  <sheetProtection algorithmName="SHA-512" hashValue="2d7t8xsSviUpEHw7RGdQvRtUXw1SF5qdghv8CtH6Q4ruBuz9VY30DVt/7LzVZiJ97sIBSc6YfS5BdWNcmtF44g==" saltValue="hQ9w3bvXlB1RPRhA5bQp5g==" spinCount="100000" sheet="1" objects="1" scenarios="1"/>
  <mergeCells count="37">
    <mergeCell ref="R7:S7"/>
    <mergeCell ref="R1:S1"/>
    <mergeCell ref="R2:S2"/>
    <mergeCell ref="R3:S3"/>
    <mergeCell ref="R4:S4"/>
    <mergeCell ref="R5:S5"/>
    <mergeCell ref="R19:S19"/>
    <mergeCell ref="R8:S8"/>
    <mergeCell ref="R9:S9"/>
    <mergeCell ref="R10:S10"/>
    <mergeCell ref="R11:S11"/>
    <mergeCell ref="R12:S12"/>
    <mergeCell ref="R13:S13"/>
    <mergeCell ref="R14:S14"/>
    <mergeCell ref="R15:S15"/>
    <mergeCell ref="R16:S16"/>
    <mergeCell ref="R17:S17"/>
    <mergeCell ref="R18:S18"/>
    <mergeCell ref="R31:S31"/>
    <mergeCell ref="R20:S20"/>
    <mergeCell ref="R21:S21"/>
    <mergeCell ref="R22:S22"/>
    <mergeCell ref="R23:S23"/>
    <mergeCell ref="R24:S24"/>
    <mergeCell ref="R25:S25"/>
    <mergeCell ref="R26:S26"/>
    <mergeCell ref="R27:S27"/>
    <mergeCell ref="R28:S28"/>
    <mergeCell ref="R29:S29"/>
    <mergeCell ref="R30:S30"/>
    <mergeCell ref="R38:S38"/>
    <mergeCell ref="R32:S32"/>
    <mergeCell ref="R33:S33"/>
    <mergeCell ref="R34:S34"/>
    <mergeCell ref="R35:S35"/>
    <mergeCell ref="R36:S36"/>
    <mergeCell ref="R37:S37"/>
  </mergeCells>
  <conditionalFormatting sqref="A8:G38">
    <cfRule type="expression" dxfId="39" priority="2">
      <formula>NOT(OR($C8="Monday", $C8="Tuesday",$C8="Wednesday",$C8="Thursday",$C8="Friday"))</formula>
    </cfRule>
  </conditionalFormatting>
  <conditionalFormatting sqref="G8:G38">
    <cfRule type="expression" dxfId="38" priority="4">
      <formula>AND($F8="N", (OR($C8="Monday", $C8="Tuesday",$C8="Wednesday",$C8="Thursday",$C8="Friday")))</formula>
    </cfRule>
  </conditionalFormatting>
  <conditionalFormatting sqref="H8:J38">
    <cfRule type="expression" dxfId="37" priority="1">
      <formula>OR($F8="N")</formula>
    </cfRule>
    <cfRule type="expression" dxfId="36" priority="3">
      <formula>$F8="R"</formula>
    </cfRule>
  </conditionalFormatting>
  <dataValidations count="1">
    <dataValidation type="list" allowBlank="1" showInputMessage="1" showErrorMessage="1" sqref="F8:F38" xr:uid="{1F9C7DCB-940C-4DF1-96FE-43E0B0A7449C}">
      <formula1>$L$3:$L$4</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476C-451B-4A09-B621-E3F27141F508}">
  <dimension ref="A1:AR77"/>
  <sheetViews>
    <sheetView zoomScale="70" zoomScaleNormal="70" workbookViewId="0">
      <selection activeCell="C1" sqref="C1"/>
    </sheetView>
  </sheetViews>
  <sheetFormatPr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6" width="7.5703125" hidden="1" customWidth="1" outlineLevel="1"/>
    <col min="17" max="17" width="2"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9.140625" collapsed="1"/>
  </cols>
  <sheetData>
    <row r="1" spans="1:44"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51"/>
      <c r="U1" s="51"/>
      <c r="V1" s="51"/>
      <c r="W1" s="30"/>
      <c r="X1" s="30"/>
      <c r="Y1" s="30"/>
      <c r="Z1" s="30"/>
      <c r="AA1" s="30"/>
      <c r="AB1" s="30"/>
      <c r="AC1" s="30"/>
      <c r="AD1" s="30"/>
      <c r="AE1" s="30"/>
      <c r="AF1" s="30"/>
      <c r="AG1" s="30"/>
      <c r="AH1" s="30"/>
      <c r="AI1" s="30"/>
      <c r="AJ1" s="30"/>
      <c r="AK1" s="30"/>
      <c r="AL1" s="30"/>
      <c r="AM1" s="30"/>
      <c r="AN1" s="30"/>
      <c r="AO1" s="30"/>
      <c r="AP1" s="30"/>
      <c r="AQ1" s="30"/>
      <c r="AR1" s="30"/>
    </row>
    <row r="2" spans="1:44" ht="16.5" x14ac:dyDescent="0.3">
      <c r="A2" s="44" t="s">
        <v>92</v>
      </c>
      <c r="B2" s="71" t="str">
        <f>Masterdata!$D$27</f>
        <v>00:00</v>
      </c>
      <c r="C2" s="30"/>
      <c r="D2" s="30"/>
      <c r="E2" s="30"/>
      <c r="F2" s="30"/>
      <c r="G2" s="30"/>
      <c r="H2" s="30"/>
      <c r="I2" s="30"/>
      <c r="J2" s="30"/>
      <c r="K2" s="30"/>
      <c r="L2" s="90"/>
      <c r="R2" s="106"/>
      <c r="S2" s="107"/>
      <c r="T2" s="51"/>
      <c r="U2" s="51"/>
      <c r="V2" s="51"/>
      <c r="W2" s="30"/>
      <c r="X2" s="30"/>
      <c r="Y2" s="30"/>
      <c r="Z2" s="30"/>
      <c r="AA2" s="30"/>
      <c r="AB2" s="30"/>
      <c r="AC2" s="30"/>
      <c r="AD2" s="30"/>
      <c r="AE2" s="30"/>
      <c r="AF2" s="30"/>
      <c r="AG2" s="30"/>
      <c r="AH2" s="30"/>
      <c r="AI2" s="30"/>
      <c r="AJ2" s="30"/>
      <c r="AK2" s="30"/>
      <c r="AL2" s="30"/>
      <c r="AM2" s="30"/>
      <c r="AN2" s="30"/>
      <c r="AO2" s="30"/>
      <c r="AP2" s="30"/>
      <c r="AQ2" s="30"/>
      <c r="AR2" s="30"/>
    </row>
    <row r="3" spans="1:44" ht="31.5" customHeight="1" x14ac:dyDescent="0.25">
      <c r="A3" s="47" t="s">
        <v>109</v>
      </c>
      <c r="B3" s="71" t="str">
        <f>IF(Q38&lt;0,"-"&amp;TEXT(ABS(Q38/24),"[tt]:mm"),TEXT(Q38/24,"[tt]:mm"))</f>
        <v>00:00</v>
      </c>
      <c r="C3" s="30"/>
      <c r="D3" s="30"/>
      <c r="E3" s="30"/>
      <c r="F3" s="30"/>
      <c r="G3" s="30"/>
      <c r="H3" s="30"/>
      <c r="I3" s="30"/>
      <c r="J3" s="30"/>
      <c r="K3" s="30"/>
      <c r="L3" s="91" t="s">
        <v>18</v>
      </c>
      <c r="R3" s="108" t="s">
        <v>130</v>
      </c>
      <c r="S3" s="109"/>
      <c r="T3" s="52"/>
      <c r="U3" s="52"/>
      <c r="V3" s="52"/>
      <c r="W3" s="30"/>
      <c r="X3" s="30"/>
      <c r="Y3" s="30"/>
      <c r="Z3" s="30"/>
      <c r="AA3" s="30"/>
      <c r="AB3" s="30"/>
      <c r="AC3" s="30"/>
      <c r="AD3" s="30"/>
      <c r="AE3" s="30"/>
      <c r="AF3" s="30"/>
      <c r="AG3" s="30"/>
      <c r="AH3" s="30"/>
      <c r="AI3" s="30"/>
      <c r="AJ3" s="30"/>
      <c r="AK3" s="30"/>
      <c r="AL3" s="30"/>
      <c r="AM3" s="30"/>
      <c r="AN3" s="30"/>
      <c r="AO3" s="30"/>
      <c r="AP3" s="30"/>
      <c r="AQ3" s="30"/>
      <c r="AR3" s="30"/>
    </row>
    <row r="4" spans="1:44" ht="54.95" customHeight="1" x14ac:dyDescent="0.25">
      <c r="A4" s="17" t="s">
        <v>110</v>
      </c>
      <c r="B4" s="48">
        <f>Masterdata!$B$5</f>
        <v>2025</v>
      </c>
      <c r="C4" s="30"/>
      <c r="D4" s="30"/>
      <c r="E4" s="30"/>
      <c r="F4" s="30"/>
      <c r="G4" s="30"/>
      <c r="H4" s="30"/>
      <c r="I4" s="30"/>
      <c r="J4" s="30"/>
      <c r="K4" s="30"/>
      <c r="L4" s="92" t="s">
        <v>19</v>
      </c>
      <c r="R4" s="110" t="s">
        <v>132</v>
      </c>
      <c r="S4" s="111"/>
      <c r="T4" s="53"/>
      <c r="U4" s="53"/>
      <c r="V4" s="53"/>
      <c r="W4" s="30"/>
      <c r="X4" s="30"/>
      <c r="Y4" s="30"/>
      <c r="Z4" s="30"/>
      <c r="AA4" s="30"/>
      <c r="AB4" s="30"/>
      <c r="AC4" s="30"/>
      <c r="AD4" s="30"/>
      <c r="AE4" s="30"/>
      <c r="AF4" s="30"/>
      <c r="AG4" s="30"/>
      <c r="AH4" s="30"/>
      <c r="AI4" s="30"/>
      <c r="AJ4" s="30"/>
      <c r="AK4" s="30"/>
      <c r="AL4" s="30"/>
      <c r="AM4" s="30"/>
      <c r="AN4" s="30"/>
      <c r="AO4" s="30"/>
      <c r="AP4" s="30"/>
      <c r="AQ4" s="30"/>
      <c r="AR4" s="30"/>
    </row>
    <row r="5" spans="1:44" ht="16.5" thickBot="1" x14ac:dyDescent="0.3">
      <c r="A5" s="13" t="s">
        <v>89</v>
      </c>
      <c r="B5" s="18" t="s">
        <v>8</v>
      </c>
      <c r="C5" s="30"/>
      <c r="D5" s="30"/>
      <c r="E5" s="30"/>
      <c r="F5" s="30"/>
      <c r="G5" s="30"/>
      <c r="H5" s="30"/>
      <c r="I5" s="30"/>
      <c r="J5" s="30"/>
      <c r="K5" s="30"/>
      <c r="L5" s="93" t="s">
        <v>118</v>
      </c>
      <c r="M5" s="94"/>
      <c r="N5" s="94"/>
      <c r="O5" s="94"/>
      <c r="P5" s="94"/>
      <c r="Q5" s="94"/>
      <c r="R5" s="112" t="s">
        <v>119</v>
      </c>
      <c r="S5" s="113"/>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6.5" thickBot="1"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Q7" s="30"/>
      <c r="R7" s="102" t="s">
        <v>121</v>
      </c>
      <c r="S7" s="103"/>
      <c r="T7" s="30"/>
      <c r="U7" s="30"/>
      <c r="V7" s="30" t="s">
        <v>27</v>
      </c>
      <c r="W7" s="30">
        <v>5</v>
      </c>
      <c r="X7" s="30"/>
      <c r="Y7" s="30"/>
      <c r="Z7" s="30"/>
      <c r="AA7" s="30"/>
      <c r="AB7" s="30"/>
      <c r="AC7" s="30"/>
      <c r="AD7" s="30"/>
      <c r="AE7" s="30"/>
      <c r="AF7" s="30"/>
      <c r="AG7" s="30"/>
      <c r="AH7" s="30"/>
      <c r="AI7" s="30"/>
      <c r="AJ7" s="30"/>
      <c r="AK7" s="30"/>
      <c r="AL7" s="30"/>
      <c r="AM7" s="30"/>
      <c r="AN7" s="30"/>
      <c r="AO7" s="30"/>
      <c r="AP7" s="30"/>
      <c r="AQ7" s="30"/>
      <c r="AR7" s="30"/>
    </row>
    <row r="8" spans="1:44" ht="15.75" x14ac:dyDescent="0.25">
      <c r="A8" s="7">
        <f>WEEKNUM($B8,21)</f>
        <v>14</v>
      </c>
      <c r="B8" s="8">
        <f>DATE(Masterdata!$B$5,4,1)</f>
        <v>45748</v>
      </c>
      <c r="C8" s="9" t="str" cm="1">
        <f t="array" ref="C8">_xlfn.XLOOKUP(E8,Masterdata!$B$31:$B$44,Masterdata!$A$31:$A$44,_xlfn.SWITCH(WEEKDAY($D8, 2), 1, "Monday", 2, "Tuesday", 3, "Wednesday", 4, "Thursday", 5, "Friday", 6, "Saturday", 7, "Sunday"),0)</f>
        <v>Tuesday</v>
      </c>
      <c r="D8" s="30">
        <f t="shared" ref="D8:D37" si="0">WEEKDAY($B8, 2)+1</f>
        <v>3</v>
      </c>
      <c r="E8" s="72">
        <f>$B8</f>
        <v>45748</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0.30833333333333335</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73" t="str">
        <f>LEFT(L8,1)</f>
        <v>0</v>
      </c>
      <c r="N8" s="25" t="str">
        <f>IF($M8="-",LEFT($L8,3),LEFT($L8,2))</f>
        <v>0:</v>
      </c>
      <c r="O8" s="56" t="str">
        <f>IF($M8="-",MID($L8,5,2),MID($L8,4,2))</f>
        <v>0</v>
      </c>
      <c r="P8" s="57">
        <f>O8/60</f>
        <v>0</v>
      </c>
      <c r="Q8" s="31">
        <f>IF(M8="-",N8-P8,N8+P8)</f>
        <v>0</v>
      </c>
      <c r="R8" s="101"/>
      <c r="S8" s="101"/>
      <c r="T8" s="30"/>
      <c r="U8" s="30"/>
      <c r="V8" s="30" t="s">
        <v>28</v>
      </c>
      <c r="W8" s="74">
        <f>B1/W7</f>
        <v>7.4</v>
      </c>
      <c r="X8" s="30">
        <v>0</v>
      </c>
      <c r="Y8" s="75"/>
      <c r="Z8" s="30"/>
      <c r="AA8" s="30"/>
      <c r="AB8" s="30"/>
      <c r="AC8" s="30"/>
      <c r="AD8" s="30"/>
      <c r="AE8" s="30"/>
      <c r="AF8" s="30"/>
      <c r="AG8" s="30"/>
      <c r="AH8" s="30"/>
      <c r="AI8" s="30"/>
      <c r="AJ8" s="30"/>
      <c r="AK8" s="30"/>
      <c r="AL8" s="30"/>
      <c r="AM8" s="30"/>
      <c r="AN8" s="30"/>
      <c r="AO8" s="30"/>
      <c r="AP8" s="30"/>
      <c r="AQ8" s="30"/>
      <c r="AR8" s="30"/>
    </row>
    <row r="9" spans="1:44" ht="15.75" x14ac:dyDescent="0.25">
      <c r="A9" s="7">
        <f t="shared" ref="A9:A37" si="1">WEEKNUM($B9,21)</f>
        <v>14</v>
      </c>
      <c r="B9" s="8">
        <f>B8+1</f>
        <v>45749</v>
      </c>
      <c r="C9" s="9" t="str" cm="1">
        <f t="array" ref="C9">_xlfn.XLOOKUP(E9,Masterdata!$B$31:$B$44,Masterdata!$A$31:$A$44,_xlfn.SWITCH(WEEKDAY($D9, 2), 1, "Monday", 2, "Tuesday", 3, "Wednesday", 4, "Thursday", 5, "Friday", 6, "Saturday", 7, "Sunday"),0)</f>
        <v>Wednesday</v>
      </c>
      <c r="D9" s="30">
        <f t="shared" si="0"/>
        <v>4</v>
      </c>
      <c r="E9" s="72">
        <f t="shared" ref="E9:E37" si="2">$B9</f>
        <v>45749</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0.30833333333333335</v>
      </c>
      <c r="H9" s="11">
        <v>0</v>
      </c>
      <c r="I9" s="11">
        <v>0</v>
      </c>
      <c r="J9" s="11">
        <v>0</v>
      </c>
      <c r="K9" s="27" t="str">
        <f t="shared" ref="K9:K37"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73" t="str">
        <f t="shared" ref="M9:M19" si="4">LEFT(L9,1)</f>
        <v>0</v>
      </c>
      <c r="N9" s="25" t="str">
        <f t="shared" ref="N9:N37" si="5">IF($M9="-",LEFT($L9,3),LEFT($L9,2))</f>
        <v>0:</v>
      </c>
      <c r="O9" s="56" t="str">
        <f t="shared" ref="O9:O37" si="6">IF($M9="-",MID($L9,5,2),MID($L9,4,2))</f>
        <v>0</v>
      </c>
      <c r="P9" s="57">
        <f t="shared" ref="P9:P13" si="7">O9/60</f>
        <v>0</v>
      </c>
      <c r="Q9" s="31">
        <f t="shared" ref="Q9:Q13" si="8">IF(M9="-",N9-P9,N9+P9)</f>
        <v>0</v>
      </c>
      <c r="R9" s="101"/>
      <c r="S9" s="101"/>
      <c r="T9" s="30"/>
      <c r="U9" s="30"/>
      <c r="V9" s="30" t="s">
        <v>29</v>
      </c>
      <c r="W9" s="75">
        <f>W8/24</f>
        <v>0.30833333333333335</v>
      </c>
      <c r="X9" s="30"/>
      <c r="Y9" s="30"/>
      <c r="Z9" s="30"/>
      <c r="AA9" s="30"/>
      <c r="AB9" s="30"/>
      <c r="AC9" s="30"/>
      <c r="AD9" s="30"/>
      <c r="AE9" s="30"/>
      <c r="AF9" s="30"/>
      <c r="AG9" s="30"/>
      <c r="AH9" s="30"/>
      <c r="AI9" s="30"/>
      <c r="AJ9" s="30"/>
      <c r="AK9" s="30"/>
      <c r="AL9" s="30"/>
      <c r="AM9" s="30"/>
      <c r="AN9" s="30"/>
      <c r="AO9" s="30"/>
      <c r="AP9" s="30"/>
      <c r="AQ9" s="30"/>
      <c r="AR9" s="30"/>
    </row>
    <row r="10" spans="1:44" ht="15.75" x14ac:dyDescent="0.25">
      <c r="A10" s="7">
        <f t="shared" si="1"/>
        <v>14</v>
      </c>
      <c r="B10" s="8">
        <f t="shared" ref="B10:B37" si="9">B9+1</f>
        <v>45750</v>
      </c>
      <c r="C10" s="9" t="str" cm="1">
        <f t="array" ref="C10">_xlfn.XLOOKUP(E10,Masterdata!$B$31:$B$44,Masterdata!$A$31:$A$44,_xlfn.SWITCH(WEEKDAY($D10, 2), 1, "Monday", 2, "Tuesday", 3, "Wednesday", 4, "Thursday", 5, "Friday", 6, "Saturday", 7, "Sunday"),0)</f>
        <v>Thursday</v>
      </c>
      <c r="D10" s="30">
        <f t="shared" si="0"/>
        <v>5</v>
      </c>
      <c r="E10" s="72">
        <f t="shared" si="2"/>
        <v>45750</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0.30833333333333335</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73" t="str">
        <f t="shared" si="4"/>
        <v>0</v>
      </c>
      <c r="N10" s="25" t="str">
        <f t="shared" si="5"/>
        <v>0:</v>
      </c>
      <c r="O10" s="56" t="str">
        <f t="shared" si="6"/>
        <v>0</v>
      </c>
      <c r="P10" s="57">
        <f t="shared" si="7"/>
        <v>0</v>
      </c>
      <c r="Q10" s="31">
        <f t="shared" si="8"/>
        <v>0</v>
      </c>
      <c r="R10" s="101"/>
      <c r="S10" s="101"/>
      <c r="T10" s="30" t="s">
        <v>18</v>
      </c>
      <c r="U10" s="30" t="s">
        <v>30</v>
      </c>
      <c r="V10" s="30" t="s">
        <v>31</v>
      </c>
      <c r="W10" s="31">
        <f>(B1/37)*160.33</f>
        <v>160.33000000000001</v>
      </c>
      <c r="X10" s="30"/>
      <c r="Y10" s="30"/>
      <c r="Z10" s="30"/>
      <c r="AA10" s="30"/>
      <c r="AB10" s="30"/>
      <c r="AC10" s="30"/>
      <c r="AD10" s="30"/>
      <c r="AE10" s="30"/>
      <c r="AF10" s="30"/>
      <c r="AG10" s="30"/>
      <c r="AH10" s="30"/>
      <c r="AI10" s="30"/>
      <c r="AJ10" s="30"/>
      <c r="AK10" s="30"/>
      <c r="AL10" s="30"/>
      <c r="AM10" s="30"/>
      <c r="AN10" s="30"/>
      <c r="AO10" s="30"/>
      <c r="AP10" s="30"/>
      <c r="AQ10" s="30"/>
      <c r="AR10" s="30"/>
    </row>
    <row r="11" spans="1:44" ht="15.75" x14ac:dyDescent="0.25">
      <c r="A11" s="7">
        <f t="shared" si="1"/>
        <v>14</v>
      </c>
      <c r="B11" s="8">
        <f t="shared" si="9"/>
        <v>45751</v>
      </c>
      <c r="C11" s="9" t="str" cm="1">
        <f t="array" ref="C11">_xlfn.XLOOKUP(E11,Masterdata!$B$31:$B$44,Masterdata!$A$31:$A$44,_xlfn.SWITCH(WEEKDAY($D11, 2), 1, "Monday", 2, "Tuesday", 3, "Wednesday", 4, "Thursday", 5, "Friday", 6, "Saturday", 7, "Sunday"),0)</f>
        <v>Friday</v>
      </c>
      <c r="D11" s="30">
        <f t="shared" si="0"/>
        <v>6</v>
      </c>
      <c r="E11" s="72">
        <f t="shared" si="2"/>
        <v>45751</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0.30833333333333335</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73" t="str">
        <f t="shared" si="4"/>
        <v>0</v>
      </c>
      <c r="N11" s="25" t="str">
        <f t="shared" si="5"/>
        <v>0:</v>
      </c>
      <c r="O11" s="56" t="str">
        <f t="shared" si="6"/>
        <v>0</v>
      </c>
      <c r="P11" s="57">
        <f t="shared" si="7"/>
        <v>0</v>
      </c>
      <c r="Q11" s="31">
        <f t="shared" si="8"/>
        <v>0</v>
      </c>
      <c r="R11" s="101"/>
      <c r="S11" s="10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75" x14ac:dyDescent="0.25">
      <c r="A12" s="7">
        <f t="shared" si="1"/>
        <v>14</v>
      </c>
      <c r="B12" s="8">
        <f t="shared" si="9"/>
        <v>45752</v>
      </c>
      <c r="C12" s="9" t="str" cm="1">
        <f t="array" ref="C12">_xlfn.XLOOKUP(E12,Masterdata!$B$31:$B$44,Masterdata!$A$31:$A$44,_xlfn.SWITCH(WEEKDAY($D12, 2), 1, "Monday", 2, "Tuesday", 3, "Wednesday", 4, "Thursday", 5, "Friday", 6, "Saturday", 7, "Sunday"),0)</f>
        <v>Saturday</v>
      </c>
      <c r="D12" s="30">
        <f t="shared" si="0"/>
        <v>7</v>
      </c>
      <c r="E12" s="72">
        <f t="shared" si="2"/>
        <v>45752</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73" t="str">
        <f t="shared" si="4"/>
        <v>0</v>
      </c>
      <c r="N12" s="25" t="str">
        <f t="shared" si="5"/>
        <v>0:</v>
      </c>
      <c r="O12" s="56" t="str">
        <f t="shared" si="6"/>
        <v>0</v>
      </c>
      <c r="P12" s="57">
        <f t="shared" si="7"/>
        <v>0</v>
      </c>
      <c r="Q12" s="31">
        <f t="shared" si="8"/>
        <v>0</v>
      </c>
      <c r="R12" s="101"/>
      <c r="S12" s="101"/>
      <c r="T12" s="30"/>
      <c r="U12" s="30"/>
      <c r="V12" s="30"/>
      <c r="W12" s="31"/>
      <c r="X12" s="30"/>
      <c r="Y12" s="30"/>
      <c r="Z12" s="30"/>
      <c r="AA12" s="30"/>
      <c r="AB12" s="30"/>
      <c r="AC12" s="30"/>
      <c r="AD12" s="30"/>
      <c r="AE12" s="30"/>
      <c r="AF12" s="30"/>
      <c r="AG12" s="30"/>
      <c r="AH12" s="30"/>
      <c r="AI12" s="30"/>
      <c r="AJ12" s="30"/>
      <c r="AK12" s="30"/>
      <c r="AL12" s="30"/>
      <c r="AM12" s="30"/>
      <c r="AN12" s="30"/>
      <c r="AO12" s="30"/>
      <c r="AP12" s="30"/>
      <c r="AQ12" s="30"/>
      <c r="AR12" s="30"/>
    </row>
    <row r="13" spans="1:44" ht="15.75" x14ac:dyDescent="0.25">
      <c r="A13" s="7">
        <f t="shared" si="1"/>
        <v>14</v>
      </c>
      <c r="B13" s="8">
        <f t="shared" si="9"/>
        <v>45753</v>
      </c>
      <c r="C13" s="9" t="str" cm="1">
        <f t="array" ref="C13">_xlfn.XLOOKUP(E13,Masterdata!$B$31:$B$44,Masterdata!$A$31:$A$44,_xlfn.SWITCH(WEEKDAY($D13, 2), 1, "Monday", 2, "Tuesday", 3, "Wednesday", 4, "Thursday", 5, "Friday", 6, "Saturday", 7, "Sunday"),0)</f>
        <v>Sunday</v>
      </c>
      <c r="D13" s="30">
        <f t="shared" si="0"/>
        <v>8</v>
      </c>
      <c r="E13" s="72">
        <f t="shared" si="2"/>
        <v>45753</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73" t="str">
        <f t="shared" si="4"/>
        <v>0</v>
      </c>
      <c r="N13" s="25" t="str">
        <f t="shared" si="5"/>
        <v>0:</v>
      </c>
      <c r="O13" s="56" t="str">
        <f t="shared" si="6"/>
        <v>0</v>
      </c>
      <c r="P13" s="57">
        <f t="shared" si="7"/>
        <v>0</v>
      </c>
      <c r="Q13" s="31">
        <f t="shared" si="8"/>
        <v>0</v>
      </c>
      <c r="R13" s="100"/>
      <c r="S13" s="100"/>
      <c r="T13" s="30"/>
      <c r="U13" s="30"/>
      <c r="V13" s="30"/>
      <c r="W13" s="76"/>
      <c r="X13" s="30"/>
      <c r="Y13" s="30"/>
      <c r="Z13" s="30"/>
      <c r="AA13" s="30"/>
      <c r="AB13" s="30"/>
      <c r="AC13" s="30"/>
      <c r="AD13" s="30"/>
      <c r="AE13" s="30"/>
      <c r="AF13" s="30"/>
      <c r="AG13" s="30"/>
      <c r="AH13" s="30"/>
      <c r="AI13" s="30"/>
      <c r="AJ13" s="30"/>
      <c r="AK13" s="30"/>
      <c r="AL13" s="30"/>
      <c r="AM13" s="30"/>
      <c r="AN13" s="30"/>
      <c r="AO13" s="30"/>
      <c r="AP13" s="30"/>
      <c r="AQ13" s="30"/>
      <c r="AR13" s="30"/>
    </row>
    <row r="14" spans="1:44" ht="15.75" x14ac:dyDescent="0.25">
      <c r="A14" s="7">
        <f t="shared" si="1"/>
        <v>15</v>
      </c>
      <c r="B14" s="8">
        <f t="shared" si="9"/>
        <v>45754</v>
      </c>
      <c r="C14" s="9" t="str" cm="1">
        <f t="array" ref="C14">_xlfn.XLOOKUP(E14,Masterdata!$B$31:$B$44,Masterdata!$A$31:$A$44,_xlfn.SWITCH(WEEKDAY($D14, 2), 1, "Monday", 2, "Tuesday", 3, "Wednesday", 4, "Thursday", 5, "Friday", 6, "Saturday", 7, "Sunday"),0)</f>
        <v>Monday</v>
      </c>
      <c r="D14" s="30">
        <f t="shared" si="0"/>
        <v>2</v>
      </c>
      <c r="E14" s="72">
        <f t="shared" si="2"/>
        <v>45754</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0.30833333333333335</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73" t="str">
        <f t="shared" si="4"/>
        <v>0</v>
      </c>
      <c r="N14" s="25" t="str">
        <f t="shared" si="5"/>
        <v>0:</v>
      </c>
      <c r="O14" s="56" t="str">
        <f t="shared" si="6"/>
        <v>0</v>
      </c>
      <c r="P14" s="57">
        <f>O14/60</f>
        <v>0</v>
      </c>
      <c r="Q14" s="31">
        <f>IF(M14="-",N14-P14,N14+P14)</f>
        <v>0</v>
      </c>
      <c r="R14" s="100"/>
      <c r="S14" s="10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75" x14ac:dyDescent="0.25">
      <c r="A15" s="7">
        <f t="shared" si="1"/>
        <v>15</v>
      </c>
      <c r="B15" s="8">
        <f t="shared" si="9"/>
        <v>45755</v>
      </c>
      <c r="C15" s="9" t="str" cm="1">
        <f t="array" ref="C15">_xlfn.XLOOKUP(E15,Masterdata!$B$31:$B$44,Masterdata!$A$31:$A$44,_xlfn.SWITCH(WEEKDAY($D15, 2), 1, "Monday", 2, "Tuesday", 3, "Wednesday", 4, "Thursday", 5, "Friday", 6, "Saturday", 7, "Sunday"),0)</f>
        <v>Tuesday</v>
      </c>
      <c r="D15" s="30">
        <f t="shared" si="0"/>
        <v>3</v>
      </c>
      <c r="E15" s="72">
        <f t="shared" si="2"/>
        <v>45755</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0.30833333333333335</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73" t="str">
        <f t="shared" si="4"/>
        <v>0</v>
      </c>
      <c r="N15" s="25" t="str">
        <f t="shared" si="5"/>
        <v>0:</v>
      </c>
      <c r="O15" s="56" t="str">
        <f t="shared" si="6"/>
        <v>0</v>
      </c>
      <c r="P15" s="57">
        <f t="shared" ref="P15:P37" si="10">O15/60</f>
        <v>0</v>
      </c>
      <c r="Q15" s="31">
        <f t="shared" ref="Q15:Q19" si="11">IF(M15="-",N15-P15,N15+P15)</f>
        <v>0</v>
      </c>
      <c r="R15" s="100"/>
      <c r="S15" s="100"/>
      <c r="T15" s="30" t="s">
        <v>32</v>
      </c>
      <c r="U15" s="30" t="s">
        <v>33</v>
      </c>
      <c r="V15" s="30" t="s">
        <v>34</v>
      </c>
      <c r="W15" s="31">
        <f>W10-W13</f>
        <v>160.33000000000001</v>
      </c>
      <c r="X15" s="30"/>
      <c r="Y15" s="30"/>
      <c r="Z15" s="30"/>
      <c r="AA15" s="30"/>
      <c r="AB15" s="30"/>
      <c r="AC15" s="30"/>
      <c r="AD15" s="30"/>
      <c r="AE15" s="30"/>
      <c r="AF15" s="30"/>
      <c r="AG15" s="30"/>
      <c r="AH15" s="30"/>
      <c r="AI15" s="30"/>
      <c r="AJ15" s="30"/>
      <c r="AK15" s="30"/>
      <c r="AL15" s="30"/>
      <c r="AM15" s="30"/>
      <c r="AN15" s="30"/>
      <c r="AO15" s="30"/>
      <c r="AP15" s="30"/>
      <c r="AQ15" s="30"/>
      <c r="AR15" s="30"/>
    </row>
    <row r="16" spans="1:44" ht="15.75" x14ac:dyDescent="0.25">
      <c r="A16" s="7">
        <f t="shared" si="1"/>
        <v>15</v>
      </c>
      <c r="B16" s="8">
        <f t="shared" si="9"/>
        <v>45756</v>
      </c>
      <c r="C16" s="9" t="str" cm="1">
        <f t="array" ref="C16">_xlfn.XLOOKUP(E16,Masterdata!$B$31:$B$44,Masterdata!$A$31:$A$44,_xlfn.SWITCH(WEEKDAY($D16, 2), 1, "Monday", 2, "Tuesday", 3, "Wednesday", 4, "Thursday", 5, "Friday", 6, "Saturday", 7, "Sunday"),0)</f>
        <v>Wednesday</v>
      </c>
      <c r="D16" s="30">
        <f t="shared" si="0"/>
        <v>4</v>
      </c>
      <c r="E16" s="72">
        <f t="shared" si="2"/>
        <v>45756</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0.30833333333333335</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73" t="str">
        <f t="shared" si="4"/>
        <v>0</v>
      </c>
      <c r="N16" s="25" t="str">
        <f t="shared" si="5"/>
        <v>0:</v>
      </c>
      <c r="O16" s="56" t="str">
        <f t="shared" si="6"/>
        <v>0</v>
      </c>
      <c r="P16" s="57">
        <f t="shared" si="10"/>
        <v>0</v>
      </c>
      <c r="Q16" s="31">
        <f t="shared" si="11"/>
        <v>0</v>
      </c>
      <c r="R16" s="100"/>
      <c r="S16" s="100"/>
      <c r="T16" s="30" t="s">
        <v>35</v>
      </c>
      <c r="U16" s="30" t="s">
        <v>36</v>
      </c>
      <c r="V16" s="30" t="s">
        <v>37</v>
      </c>
      <c r="W16" s="31" t="e">
        <f>SUM(#REF!)</f>
        <v>#REF!</v>
      </c>
      <c r="X16" s="30"/>
      <c r="Y16" s="30"/>
      <c r="Z16" s="30"/>
      <c r="AA16" s="30"/>
      <c r="AB16" s="30"/>
      <c r="AC16" s="30"/>
      <c r="AD16" s="30"/>
      <c r="AE16" s="30"/>
      <c r="AF16" s="30"/>
      <c r="AG16" s="30"/>
      <c r="AH16" s="30"/>
      <c r="AI16" s="30"/>
      <c r="AJ16" s="30"/>
      <c r="AK16" s="30"/>
      <c r="AL16" s="30"/>
      <c r="AM16" s="30"/>
      <c r="AN16" s="30"/>
      <c r="AO16" s="30"/>
      <c r="AP16" s="30"/>
      <c r="AQ16" s="30"/>
      <c r="AR16" s="30"/>
    </row>
    <row r="17" spans="1:44" ht="15.75" x14ac:dyDescent="0.25">
      <c r="A17" s="7">
        <f t="shared" si="1"/>
        <v>15</v>
      </c>
      <c r="B17" s="8">
        <f t="shared" si="9"/>
        <v>45757</v>
      </c>
      <c r="C17" s="9" t="str" cm="1">
        <f t="array" ref="C17">_xlfn.XLOOKUP(E17,Masterdata!$B$31:$B$44,Masterdata!$A$31:$A$44,_xlfn.SWITCH(WEEKDAY($D17, 2), 1, "Monday", 2, "Tuesday", 3, "Wednesday", 4, "Thursday", 5, "Friday", 6, "Saturday", 7, "Sunday"),0)</f>
        <v>Thursday</v>
      </c>
      <c r="D17" s="30">
        <f t="shared" si="0"/>
        <v>5</v>
      </c>
      <c r="E17" s="72">
        <f t="shared" si="2"/>
        <v>45757</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0.30833333333333335</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73" t="str">
        <f t="shared" si="4"/>
        <v>0</v>
      </c>
      <c r="N17" s="25" t="str">
        <f t="shared" si="5"/>
        <v>0:</v>
      </c>
      <c r="O17" s="56" t="str">
        <f t="shared" si="6"/>
        <v>0</v>
      </c>
      <c r="P17" s="57">
        <f t="shared" si="10"/>
        <v>0</v>
      </c>
      <c r="Q17" s="31">
        <f t="shared" si="11"/>
        <v>0</v>
      </c>
      <c r="R17" s="100"/>
      <c r="S17" s="100"/>
      <c r="T17" s="30" t="s">
        <v>19</v>
      </c>
      <c r="U17" s="30" t="s">
        <v>38</v>
      </c>
      <c r="V17" s="30" t="s">
        <v>39</v>
      </c>
      <c r="W17" s="31" t="e">
        <f>W15-W16</f>
        <v>#REF!</v>
      </c>
      <c r="X17" s="30"/>
      <c r="Y17" s="30"/>
      <c r="Z17" s="30"/>
      <c r="AA17" s="30"/>
      <c r="AB17" s="30"/>
      <c r="AC17" s="30"/>
      <c r="AD17" s="30"/>
      <c r="AE17" s="30"/>
      <c r="AF17" s="30"/>
      <c r="AG17" s="30"/>
      <c r="AH17" s="30"/>
      <c r="AI17" s="30"/>
      <c r="AJ17" s="30"/>
      <c r="AK17" s="30"/>
      <c r="AL17" s="30"/>
      <c r="AM17" s="30"/>
      <c r="AN17" s="30"/>
      <c r="AO17" s="30"/>
      <c r="AP17" s="30"/>
      <c r="AQ17" s="30"/>
      <c r="AR17" s="30"/>
    </row>
    <row r="18" spans="1:44" ht="15.75" x14ac:dyDescent="0.25">
      <c r="A18" s="7">
        <f t="shared" si="1"/>
        <v>15</v>
      </c>
      <c r="B18" s="8">
        <f t="shared" si="9"/>
        <v>45758</v>
      </c>
      <c r="C18" s="9" t="str" cm="1">
        <f t="array" ref="C18">_xlfn.XLOOKUP(E18,Masterdata!$B$31:$B$44,Masterdata!$A$31:$A$44,_xlfn.SWITCH(WEEKDAY($D18, 2), 1, "Monday", 2, "Tuesday", 3, "Wednesday", 4, "Thursday", 5, "Friday", 6, "Saturday", 7, "Sunday"),0)</f>
        <v>Friday</v>
      </c>
      <c r="D18" s="30">
        <f t="shared" si="0"/>
        <v>6</v>
      </c>
      <c r="E18" s="72">
        <f t="shared" si="2"/>
        <v>45758</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0.30833333333333335</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73" t="str">
        <f t="shared" si="4"/>
        <v>0</v>
      </c>
      <c r="N18" s="25" t="str">
        <f t="shared" si="5"/>
        <v>0:</v>
      </c>
      <c r="O18" s="56" t="str">
        <f t="shared" si="6"/>
        <v>0</v>
      </c>
      <c r="P18" s="57">
        <f t="shared" si="10"/>
        <v>0</v>
      </c>
      <c r="Q18" s="31">
        <f t="shared" si="11"/>
        <v>0</v>
      </c>
      <c r="R18" s="100"/>
      <c r="S18" s="100"/>
      <c r="T18" s="30"/>
      <c r="U18" s="30"/>
      <c r="V18" s="72"/>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15.75" x14ac:dyDescent="0.25">
      <c r="A19" s="7">
        <f t="shared" si="1"/>
        <v>15</v>
      </c>
      <c r="B19" s="8">
        <f t="shared" si="9"/>
        <v>45759</v>
      </c>
      <c r="C19" s="9" t="str" cm="1">
        <f t="array" ref="C19">_xlfn.XLOOKUP(E19,Masterdata!$B$31:$B$44,Masterdata!$A$31:$A$44,_xlfn.SWITCH(WEEKDAY($D19, 2), 1, "Monday", 2, "Tuesday", 3, "Wednesday", 4, "Thursday", 5, "Friday", 6, "Saturday", 7, "Sunday"),0)</f>
        <v>Saturday</v>
      </c>
      <c r="D19" s="30">
        <f t="shared" si="0"/>
        <v>7</v>
      </c>
      <c r="E19" s="72">
        <f t="shared" si="2"/>
        <v>45759</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73" t="str">
        <f t="shared" si="4"/>
        <v>0</v>
      </c>
      <c r="N19" s="25" t="str">
        <f t="shared" si="5"/>
        <v>0:</v>
      </c>
      <c r="O19" s="56" t="str">
        <f t="shared" si="6"/>
        <v>0</v>
      </c>
      <c r="P19" s="57">
        <f t="shared" si="10"/>
        <v>0</v>
      </c>
      <c r="Q19" s="31">
        <f t="shared" si="11"/>
        <v>0</v>
      </c>
      <c r="R19" s="100"/>
      <c r="S19" s="10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75" x14ac:dyDescent="0.25">
      <c r="A20" s="7">
        <f t="shared" si="1"/>
        <v>15</v>
      </c>
      <c r="B20" s="8">
        <f t="shared" si="9"/>
        <v>45760</v>
      </c>
      <c r="C20" s="9" t="str" cm="1">
        <f t="array" ref="C20">_xlfn.XLOOKUP(E20,Masterdata!$B$31:$B$44,Masterdata!$A$31:$A$44,_xlfn.SWITCH(WEEKDAY($D20, 2), 1, "Monday", 2, "Tuesday", 3, "Wednesday", 4, "Thursday", 5, "Friday", 6, "Saturday", 7, "Sunday"),0)</f>
        <v>Palm Sunday</v>
      </c>
      <c r="D20" s="30">
        <f t="shared" si="0"/>
        <v>8</v>
      </c>
      <c r="E20" s="72">
        <f t="shared" si="2"/>
        <v>45760</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73" t="str">
        <f>LEFT(L20,1)</f>
        <v>0</v>
      </c>
      <c r="N20" s="25" t="str">
        <f t="shared" si="5"/>
        <v>0:</v>
      </c>
      <c r="O20" s="56" t="str">
        <f t="shared" si="6"/>
        <v>0</v>
      </c>
      <c r="P20" s="57">
        <f t="shared" si="10"/>
        <v>0</v>
      </c>
      <c r="Q20" s="31">
        <f>IF(M20="-",N20-P20,N20+P20)</f>
        <v>0</v>
      </c>
      <c r="R20" s="100"/>
      <c r="S20" s="10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15.75" x14ac:dyDescent="0.25">
      <c r="A21" s="7">
        <f t="shared" si="1"/>
        <v>16</v>
      </c>
      <c r="B21" s="8">
        <f t="shared" si="9"/>
        <v>45761</v>
      </c>
      <c r="C21" s="9" t="str" cm="1">
        <f t="array" ref="C21">_xlfn.XLOOKUP(E21,Masterdata!$B$31:$B$44,Masterdata!$A$31:$A$44,_xlfn.SWITCH(WEEKDAY($D21, 2), 1, "Monday", 2, "Tuesday", 3, "Wednesday", 4, "Thursday", 5, "Friday", 6, "Saturday", 7, "Sunday"),0)</f>
        <v>Monday</v>
      </c>
      <c r="D21" s="30">
        <f t="shared" si="0"/>
        <v>2</v>
      </c>
      <c r="E21" s="72">
        <f t="shared" si="2"/>
        <v>45761</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0.30833333333333335</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73" t="str">
        <f t="shared" ref="M21:M37" si="12">LEFT(L21,1)</f>
        <v>0</v>
      </c>
      <c r="N21" s="25" t="str">
        <f t="shared" si="5"/>
        <v>0:</v>
      </c>
      <c r="O21" s="56" t="str">
        <f t="shared" si="6"/>
        <v>0</v>
      </c>
      <c r="P21" s="57">
        <f t="shared" si="10"/>
        <v>0</v>
      </c>
      <c r="Q21" s="31">
        <f t="shared" ref="Q21:Q37" si="13">IF(M21="-",N21-P21,N21+P21)</f>
        <v>0</v>
      </c>
      <c r="R21" s="100"/>
      <c r="S21" s="10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ht="15.75" x14ac:dyDescent="0.25">
      <c r="A22" s="7">
        <f t="shared" si="1"/>
        <v>16</v>
      </c>
      <c r="B22" s="8">
        <f t="shared" si="9"/>
        <v>45762</v>
      </c>
      <c r="C22" s="9" t="str" cm="1">
        <f t="array" ref="C22">_xlfn.XLOOKUP(E22,Masterdata!$B$31:$B$44,Masterdata!$A$31:$A$44,_xlfn.SWITCH(WEEKDAY($D22, 2), 1, "Monday", 2, "Tuesday", 3, "Wednesday", 4, "Thursday", 5, "Friday", 6, "Saturday", 7, "Sunday"),0)</f>
        <v>Tuesday</v>
      </c>
      <c r="D22" s="30">
        <f t="shared" si="0"/>
        <v>3</v>
      </c>
      <c r="E22" s="72">
        <f t="shared" si="2"/>
        <v>45762</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0.30833333333333335</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73" t="str">
        <f t="shared" si="12"/>
        <v>0</v>
      </c>
      <c r="N22" s="25" t="str">
        <f t="shared" si="5"/>
        <v>0:</v>
      </c>
      <c r="O22" s="56" t="str">
        <f t="shared" si="6"/>
        <v>0</v>
      </c>
      <c r="P22" s="57">
        <f t="shared" si="10"/>
        <v>0</v>
      </c>
      <c r="Q22" s="31">
        <f t="shared" si="13"/>
        <v>0</v>
      </c>
      <c r="R22" s="100"/>
      <c r="S22" s="10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5.75" x14ac:dyDescent="0.25">
      <c r="A23" s="7">
        <f t="shared" si="1"/>
        <v>16</v>
      </c>
      <c r="B23" s="8">
        <f t="shared" si="9"/>
        <v>45763</v>
      </c>
      <c r="C23" s="9" t="str" cm="1">
        <f t="array" ref="C23">_xlfn.XLOOKUP(E23,Masterdata!$B$31:$B$44,Masterdata!$A$31:$A$44,_xlfn.SWITCH(WEEKDAY($D23, 2), 1, "Monday", 2, "Tuesday", 3, "Wednesday", 4, "Thursday", 5, "Friday", 6, "Saturday", 7, "Sunday"),0)</f>
        <v>Wednesday</v>
      </c>
      <c r="D23" s="30">
        <f t="shared" si="0"/>
        <v>4</v>
      </c>
      <c r="E23" s="72">
        <f t="shared" si="2"/>
        <v>45763</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0.30833333333333335</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73" t="str">
        <f t="shared" si="12"/>
        <v>0</v>
      </c>
      <c r="N23" s="25" t="str">
        <f t="shared" si="5"/>
        <v>0:</v>
      </c>
      <c r="O23" s="56" t="str">
        <f t="shared" si="6"/>
        <v>0</v>
      </c>
      <c r="P23" s="57">
        <f t="shared" si="10"/>
        <v>0</v>
      </c>
      <c r="Q23" s="31">
        <f t="shared" si="13"/>
        <v>0</v>
      </c>
      <c r="R23" s="100"/>
      <c r="S23" s="10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15.75" x14ac:dyDescent="0.25">
      <c r="A24" s="7">
        <f t="shared" si="1"/>
        <v>16</v>
      </c>
      <c r="B24" s="8">
        <f t="shared" si="9"/>
        <v>45764</v>
      </c>
      <c r="C24" s="9" t="str" cm="1">
        <f t="array" ref="C24">_xlfn.XLOOKUP(E24,Masterdata!$B$31:$B$44,Masterdata!$A$31:$A$44,_xlfn.SWITCH(WEEKDAY($D24, 2), 1, "Monday", 2, "Tuesday", 3, "Wednesday", 4, "Thursday", 5, "Friday", 6, "Saturday", 7, "Sunday"),0)</f>
        <v>Maundy Thursday</v>
      </c>
      <c r="D24" s="30">
        <f t="shared" si="0"/>
        <v>5</v>
      </c>
      <c r="E24" s="72">
        <f t="shared" si="2"/>
        <v>45764</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73" t="str">
        <f t="shared" si="12"/>
        <v>0</v>
      </c>
      <c r="N24" s="25" t="str">
        <f t="shared" si="5"/>
        <v>0:</v>
      </c>
      <c r="O24" s="56" t="str">
        <f t="shared" si="6"/>
        <v>0</v>
      </c>
      <c r="P24" s="57">
        <f t="shared" si="10"/>
        <v>0</v>
      </c>
      <c r="Q24" s="31">
        <f t="shared" si="13"/>
        <v>0</v>
      </c>
      <c r="R24" s="100"/>
      <c r="S24" s="10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5.75" x14ac:dyDescent="0.25">
      <c r="A25" s="7">
        <f t="shared" si="1"/>
        <v>16</v>
      </c>
      <c r="B25" s="8">
        <f t="shared" si="9"/>
        <v>45765</v>
      </c>
      <c r="C25" s="9" t="str" cm="1">
        <f t="array" ref="C25">_xlfn.XLOOKUP(E25,Masterdata!$B$31:$B$44,Masterdata!$A$31:$A$44,_xlfn.SWITCH(WEEKDAY($D25, 2), 1, "Monday", 2, "Tuesday", 3, "Wednesday", 4, "Thursday", 5, "Friday", 6, "Saturday", 7, "Sunday"),0)</f>
        <v>Good Friday</v>
      </c>
      <c r="D25" s="30">
        <f t="shared" si="0"/>
        <v>6</v>
      </c>
      <c r="E25" s="72">
        <f t="shared" si="2"/>
        <v>45765</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73" t="str">
        <f t="shared" si="12"/>
        <v>0</v>
      </c>
      <c r="N25" s="25" t="str">
        <f t="shared" si="5"/>
        <v>0:</v>
      </c>
      <c r="O25" s="56" t="str">
        <f t="shared" si="6"/>
        <v>0</v>
      </c>
      <c r="P25" s="57">
        <f t="shared" si="10"/>
        <v>0</v>
      </c>
      <c r="Q25" s="31">
        <f t="shared" si="13"/>
        <v>0</v>
      </c>
      <c r="R25" s="100"/>
      <c r="S25" s="10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ht="15.75" x14ac:dyDescent="0.25">
      <c r="A26" s="7">
        <f t="shared" si="1"/>
        <v>16</v>
      </c>
      <c r="B26" s="8">
        <f t="shared" si="9"/>
        <v>45766</v>
      </c>
      <c r="C26" s="9" t="str" cm="1">
        <f t="array" ref="C26">_xlfn.XLOOKUP(E26,Masterdata!$B$31:$B$44,Masterdata!$A$31:$A$44,_xlfn.SWITCH(WEEKDAY($D26, 2), 1, "Monday", 2, "Tuesday", 3, "Wednesday", 4, "Thursday", 5, "Friday", 6, "Saturday", 7, "Sunday"),0)</f>
        <v>Saturday</v>
      </c>
      <c r="D26" s="30">
        <f t="shared" si="0"/>
        <v>7</v>
      </c>
      <c r="E26" s="72">
        <f t="shared" si="2"/>
        <v>45766</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73" t="str">
        <f t="shared" si="12"/>
        <v>0</v>
      </c>
      <c r="N26" s="25" t="str">
        <f t="shared" si="5"/>
        <v>0:</v>
      </c>
      <c r="O26" s="56" t="str">
        <f t="shared" si="6"/>
        <v>0</v>
      </c>
      <c r="P26" s="57">
        <f t="shared" si="10"/>
        <v>0</v>
      </c>
      <c r="Q26" s="31">
        <f t="shared" si="13"/>
        <v>0</v>
      </c>
      <c r="R26" s="100"/>
      <c r="S26" s="10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5.75" x14ac:dyDescent="0.25">
      <c r="A27" s="7">
        <f t="shared" si="1"/>
        <v>16</v>
      </c>
      <c r="B27" s="8">
        <f t="shared" si="9"/>
        <v>45767</v>
      </c>
      <c r="C27" s="9" t="str" cm="1">
        <f t="array" ref="C27">_xlfn.XLOOKUP(E27,Masterdata!$B$31:$B$44,Masterdata!$A$31:$A$44,_xlfn.SWITCH(WEEKDAY($D27, 2), 1, "Monday", 2, "Tuesday", 3, "Wednesday", 4, "Thursday", 5, "Friday", 6, "Saturday", 7, "Sunday"),0)</f>
        <v>Easter Sunday</v>
      </c>
      <c r="D27" s="30">
        <f t="shared" si="0"/>
        <v>8</v>
      </c>
      <c r="E27" s="72">
        <f t="shared" si="2"/>
        <v>45767</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73" t="str">
        <f t="shared" si="12"/>
        <v>0</v>
      </c>
      <c r="N27" s="25" t="str">
        <f t="shared" si="5"/>
        <v>0:</v>
      </c>
      <c r="O27" s="56" t="str">
        <f t="shared" si="6"/>
        <v>0</v>
      </c>
      <c r="P27" s="57">
        <f t="shared" si="10"/>
        <v>0</v>
      </c>
      <c r="Q27" s="31">
        <f t="shared" si="13"/>
        <v>0</v>
      </c>
      <c r="R27" s="100"/>
      <c r="S27" s="10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ht="15.75" x14ac:dyDescent="0.25">
      <c r="A28" s="7">
        <f t="shared" si="1"/>
        <v>17</v>
      </c>
      <c r="B28" s="8">
        <f t="shared" si="9"/>
        <v>45768</v>
      </c>
      <c r="C28" s="9" t="str" cm="1">
        <f t="array" ref="C28">_xlfn.XLOOKUP(E28,Masterdata!$B$31:$B$44,Masterdata!$A$31:$A$44,_xlfn.SWITCH(WEEKDAY($D28, 2), 1, "Monday", 2, "Tuesday", 3, "Wednesday", 4, "Thursday", 5, "Friday", 6, "Saturday", 7, "Sunday"),0)</f>
        <v>Easter Monday</v>
      </c>
      <c r="D28" s="30">
        <f t="shared" si="0"/>
        <v>2</v>
      </c>
      <c r="E28" s="72">
        <f t="shared" si="2"/>
        <v>45768</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73" t="str">
        <f t="shared" si="12"/>
        <v>0</v>
      </c>
      <c r="N28" s="25" t="str">
        <f t="shared" si="5"/>
        <v>0:</v>
      </c>
      <c r="O28" s="56" t="str">
        <f t="shared" si="6"/>
        <v>0</v>
      </c>
      <c r="P28" s="57">
        <f t="shared" si="10"/>
        <v>0</v>
      </c>
      <c r="Q28" s="31">
        <f t="shared" si="13"/>
        <v>0</v>
      </c>
      <c r="R28" s="100"/>
      <c r="S28" s="10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5.75" x14ac:dyDescent="0.25">
      <c r="A29" s="7">
        <f t="shared" si="1"/>
        <v>17</v>
      </c>
      <c r="B29" s="8">
        <f t="shared" si="9"/>
        <v>45769</v>
      </c>
      <c r="C29" s="9" t="str" cm="1">
        <f t="array" ref="C29">_xlfn.XLOOKUP(E29,Masterdata!$B$31:$B$44,Masterdata!$A$31:$A$44,_xlfn.SWITCH(WEEKDAY($D29, 2), 1, "Monday", 2, "Tuesday", 3, "Wednesday", 4, "Thursday", 5, "Friday", 6, "Saturday", 7, "Sunday"),0)</f>
        <v>Tuesday</v>
      </c>
      <c r="D29" s="30">
        <f t="shared" si="0"/>
        <v>3</v>
      </c>
      <c r="E29" s="72">
        <f t="shared" si="2"/>
        <v>45769</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0.30833333333333335</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73" t="str">
        <f t="shared" si="12"/>
        <v>0</v>
      </c>
      <c r="N29" s="25" t="str">
        <f t="shared" si="5"/>
        <v>0:</v>
      </c>
      <c r="O29" s="56" t="str">
        <f t="shared" si="6"/>
        <v>0</v>
      </c>
      <c r="P29" s="57">
        <f t="shared" si="10"/>
        <v>0</v>
      </c>
      <c r="Q29" s="31">
        <f t="shared" si="13"/>
        <v>0</v>
      </c>
      <c r="R29" s="100"/>
      <c r="S29" s="10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ht="15.75" x14ac:dyDescent="0.25">
      <c r="A30" s="7">
        <f t="shared" si="1"/>
        <v>17</v>
      </c>
      <c r="B30" s="8">
        <f t="shared" si="9"/>
        <v>45770</v>
      </c>
      <c r="C30" s="9" t="str" cm="1">
        <f t="array" ref="C30">_xlfn.XLOOKUP(E30,Masterdata!$B$31:$B$44,Masterdata!$A$31:$A$44,_xlfn.SWITCH(WEEKDAY($D30, 2), 1, "Monday", 2, "Tuesday", 3, "Wednesday", 4, "Thursday", 5, "Friday", 6, "Saturday", 7, "Sunday"),0)</f>
        <v>Wednesday</v>
      </c>
      <c r="D30" s="30">
        <f t="shared" si="0"/>
        <v>4</v>
      </c>
      <c r="E30" s="72">
        <f t="shared" si="2"/>
        <v>45770</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0.30833333333333335</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73" t="str">
        <f t="shared" si="12"/>
        <v>0</v>
      </c>
      <c r="N30" s="25" t="str">
        <f t="shared" si="5"/>
        <v>0:</v>
      </c>
      <c r="O30" s="56" t="str">
        <f t="shared" si="6"/>
        <v>0</v>
      </c>
      <c r="P30" s="57">
        <f t="shared" si="10"/>
        <v>0</v>
      </c>
      <c r="Q30" s="31">
        <f t="shared" si="13"/>
        <v>0</v>
      </c>
      <c r="R30" s="100"/>
      <c r="S30" s="10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5.75" x14ac:dyDescent="0.25">
      <c r="A31" s="7">
        <f t="shared" si="1"/>
        <v>17</v>
      </c>
      <c r="B31" s="8">
        <f t="shared" si="9"/>
        <v>45771</v>
      </c>
      <c r="C31" s="9" t="str" cm="1">
        <f t="array" ref="C31">_xlfn.XLOOKUP(E31,Masterdata!$B$31:$B$44,Masterdata!$A$31:$A$44,_xlfn.SWITCH(WEEKDAY($D31, 2), 1, "Monday", 2, "Tuesday", 3, "Wednesday", 4, "Thursday", 5, "Friday", 6, "Saturday", 7, "Sunday"),0)</f>
        <v>Thursday</v>
      </c>
      <c r="D31" s="30">
        <f t="shared" si="0"/>
        <v>5</v>
      </c>
      <c r="E31" s="72">
        <f t="shared" si="2"/>
        <v>45771</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0.30833333333333335</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73" t="str">
        <f t="shared" si="12"/>
        <v>0</v>
      </c>
      <c r="N31" s="25" t="str">
        <f t="shared" si="5"/>
        <v>0:</v>
      </c>
      <c r="O31" s="56" t="str">
        <f t="shared" si="6"/>
        <v>0</v>
      </c>
      <c r="P31" s="57">
        <f t="shared" si="10"/>
        <v>0</v>
      </c>
      <c r="Q31" s="31">
        <f t="shared" si="13"/>
        <v>0</v>
      </c>
      <c r="R31" s="100"/>
      <c r="S31" s="10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15.75" x14ac:dyDescent="0.25">
      <c r="A32" s="7">
        <f t="shared" si="1"/>
        <v>17</v>
      </c>
      <c r="B32" s="8">
        <f t="shared" si="9"/>
        <v>45772</v>
      </c>
      <c r="C32" s="9" t="str" cm="1">
        <f t="array" ref="C32">_xlfn.XLOOKUP(E32,Masterdata!$B$31:$B$44,Masterdata!$A$31:$A$44,_xlfn.SWITCH(WEEKDAY($D32, 2), 1, "Monday", 2, "Tuesday", 3, "Wednesday", 4, "Thursday", 5, "Friday", 6, "Saturday", 7, "Sunday"),0)</f>
        <v>Friday</v>
      </c>
      <c r="D32" s="30">
        <f t="shared" si="0"/>
        <v>6</v>
      </c>
      <c r="E32" s="72">
        <f t="shared" si="2"/>
        <v>45772</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0.30833333333333335</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73" t="str">
        <f t="shared" si="12"/>
        <v>0</v>
      </c>
      <c r="N32" s="25" t="str">
        <f t="shared" si="5"/>
        <v>0:</v>
      </c>
      <c r="O32" s="56" t="str">
        <f t="shared" si="6"/>
        <v>0</v>
      </c>
      <c r="P32" s="57">
        <f t="shared" si="10"/>
        <v>0</v>
      </c>
      <c r="Q32" s="31">
        <f t="shared" si="13"/>
        <v>0</v>
      </c>
      <c r="R32" s="100"/>
      <c r="S32" s="10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5.75" x14ac:dyDescent="0.25">
      <c r="A33" s="7">
        <f t="shared" si="1"/>
        <v>17</v>
      </c>
      <c r="B33" s="8">
        <f t="shared" si="9"/>
        <v>45773</v>
      </c>
      <c r="C33" s="9" t="str" cm="1">
        <f t="array" ref="C33">_xlfn.XLOOKUP(E33,Masterdata!$B$31:$B$44,Masterdata!$A$31:$A$44,_xlfn.SWITCH(WEEKDAY($D33, 2), 1, "Monday", 2, "Tuesday", 3, "Wednesday", 4, "Thursday", 5, "Friday", 6, "Saturday", 7, "Sunday"),0)</f>
        <v>Saturday</v>
      </c>
      <c r="D33" s="30">
        <f t="shared" si="0"/>
        <v>7</v>
      </c>
      <c r="E33" s="72">
        <f t="shared" si="2"/>
        <v>45773</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73" t="str">
        <f t="shared" si="12"/>
        <v>0</v>
      </c>
      <c r="N33" s="25" t="str">
        <f t="shared" si="5"/>
        <v>0:</v>
      </c>
      <c r="O33" s="56" t="str">
        <f t="shared" si="6"/>
        <v>0</v>
      </c>
      <c r="P33" s="57">
        <f t="shared" si="10"/>
        <v>0</v>
      </c>
      <c r="Q33" s="31">
        <f t="shared" si="13"/>
        <v>0</v>
      </c>
      <c r="R33" s="100"/>
      <c r="S33" s="10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15.75" x14ac:dyDescent="0.25">
      <c r="A34" s="7">
        <f t="shared" si="1"/>
        <v>17</v>
      </c>
      <c r="B34" s="8">
        <f t="shared" si="9"/>
        <v>45774</v>
      </c>
      <c r="C34" s="9" t="str" cm="1">
        <f t="array" ref="C34">_xlfn.XLOOKUP(E34,Masterdata!$B$31:$B$44,Masterdata!$A$31:$A$44,_xlfn.SWITCH(WEEKDAY($D34, 2), 1, "Monday", 2, "Tuesday", 3, "Wednesday", 4, "Thursday", 5, "Friday", 6, "Saturday", 7, "Sunday"),0)</f>
        <v>Sunday</v>
      </c>
      <c r="D34" s="30">
        <f t="shared" si="0"/>
        <v>8</v>
      </c>
      <c r="E34" s="72">
        <f t="shared" si="2"/>
        <v>45774</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73" t="str">
        <f t="shared" si="12"/>
        <v>0</v>
      </c>
      <c r="N34" s="25" t="str">
        <f t="shared" si="5"/>
        <v>0:</v>
      </c>
      <c r="O34" s="56" t="str">
        <f t="shared" si="6"/>
        <v>0</v>
      </c>
      <c r="P34" s="57">
        <f t="shared" si="10"/>
        <v>0</v>
      </c>
      <c r="Q34" s="31">
        <f t="shared" si="13"/>
        <v>0</v>
      </c>
      <c r="R34" s="100"/>
      <c r="S34" s="10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5.75" x14ac:dyDescent="0.25">
      <c r="A35" s="7">
        <f t="shared" si="1"/>
        <v>18</v>
      </c>
      <c r="B35" s="8">
        <f t="shared" si="9"/>
        <v>45775</v>
      </c>
      <c r="C35" s="9" t="str" cm="1">
        <f t="array" ref="C35">_xlfn.XLOOKUP(E35,Masterdata!$B$31:$B$44,Masterdata!$A$31:$A$44,_xlfn.SWITCH(WEEKDAY($D35, 2), 1, "Monday", 2, "Tuesday", 3, "Wednesday", 4, "Thursday", 5, "Friday", 6, "Saturday", 7, "Sunday"),0)</f>
        <v>Monday</v>
      </c>
      <c r="D35" s="30">
        <f t="shared" si="0"/>
        <v>2</v>
      </c>
      <c r="E35" s="72">
        <f t="shared" si="2"/>
        <v>45775</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0.30833333333333335</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73" t="str">
        <f t="shared" si="12"/>
        <v>0</v>
      </c>
      <c r="N35" s="25" t="str">
        <f t="shared" si="5"/>
        <v>0:</v>
      </c>
      <c r="O35" s="56" t="str">
        <f t="shared" si="6"/>
        <v>0</v>
      </c>
      <c r="P35" s="57">
        <f t="shared" si="10"/>
        <v>0</v>
      </c>
      <c r="Q35" s="31">
        <f t="shared" si="13"/>
        <v>0</v>
      </c>
      <c r="R35" s="100"/>
      <c r="S35" s="10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15.75" x14ac:dyDescent="0.25">
      <c r="A36" s="7">
        <f t="shared" si="1"/>
        <v>18</v>
      </c>
      <c r="B36" s="8">
        <f t="shared" si="9"/>
        <v>45776</v>
      </c>
      <c r="C36" s="9" t="str" cm="1">
        <f t="array" ref="C36">_xlfn.XLOOKUP(E36,Masterdata!$B$31:$B$44,Masterdata!$A$31:$A$44,_xlfn.SWITCH(WEEKDAY($D36, 2), 1, "Monday", 2, "Tuesday", 3, "Wednesday", 4, "Thursday", 5, "Friday", 6, "Saturday", 7, "Sunday"),0)</f>
        <v>Tuesday</v>
      </c>
      <c r="D36" s="30">
        <f t="shared" si="0"/>
        <v>3</v>
      </c>
      <c r="E36" s="72">
        <f t="shared" si="2"/>
        <v>45776</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0.30833333333333335</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73" t="str">
        <f t="shared" si="12"/>
        <v>0</v>
      </c>
      <c r="N36" s="25" t="str">
        <f t="shared" si="5"/>
        <v>0:</v>
      </c>
      <c r="O36" s="56" t="str">
        <f t="shared" si="6"/>
        <v>0</v>
      </c>
      <c r="P36" s="57">
        <f t="shared" si="10"/>
        <v>0</v>
      </c>
      <c r="Q36" s="31">
        <f t="shared" si="13"/>
        <v>0</v>
      </c>
      <c r="R36" s="100"/>
      <c r="S36" s="10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ht="15.75" x14ac:dyDescent="0.25">
      <c r="A37" s="7">
        <f t="shared" si="1"/>
        <v>18</v>
      </c>
      <c r="B37" s="8">
        <f t="shared" si="9"/>
        <v>45777</v>
      </c>
      <c r="C37" s="9" t="str" cm="1">
        <f t="array" ref="C37">_xlfn.XLOOKUP(E37,Masterdata!$B$31:$B$44,Masterdata!$A$31:$A$44,_xlfn.SWITCH(WEEKDAY($D37, 2), 1, "Monday", 2, "Tuesday", 3, "Wednesday", 4, "Thursday", 5, "Friday", 6, "Saturday", 7, "Sunday"),0)</f>
        <v>Wednesday</v>
      </c>
      <c r="D37" s="30">
        <f t="shared" si="0"/>
        <v>4</v>
      </c>
      <c r="E37" s="72">
        <f t="shared" si="2"/>
        <v>45777</v>
      </c>
      <c r="F37" s="10" t="s">
        <v>18</v>
      </c>
      <c r="G37" s="12">
        <f>IF(AND(F37="N",NOT(OR($C37="Monday", $C37="Tuesday",$C37="Wednesday",$C37="Thursday",$C37="Friday"))),0,IFERROR(
    IF($F37="N", $W$9,
        IF(OR(
            AND(Masterdata!$B$4&lt;&gt;DATE(1900,1,0), Masterdata!$B$4&lt;$E37),
            AND(Masterdata!$B$3&lt;&gt;DATE(1900,1,0), Masterdata!$B$3&gt;$E37)
        ),
        IF($H37&gt;=TIME(0,0,0), "Type in next cell", 0),
        IF($H37&gt;=TIME(0,0,0), "Type in next cell",
            IF($H37&gt;=0, 0,
                IF(NOT(OR($C37="Monday", $C37="Tuesday",$C37="Wednesday",$C37="Thursday",$C37="Friday")), 0, 0)
            )
        )
    )),
"Type in next cell"))</f>
        <v>0.30833333333333335</v>
      </c>
      <c r="H37" s="11">
        <v>0</v>
      </c>
      <c r="I37" s="11">
        <v>0</v>
      </c>
      <c r="J37" s="11">
        <v>0</v>
      </c>
      <c r="K37" s="27" t="str">
        <f t="shared" si="3"/>
        <v>00:00</v>
      </c>
      <c r="L37" s="27" t="str">
        <f>IF(F37="N","0:00",IF(
OR(
AND(Masterdata!$B$4&lt;&gt;DATE(1900,1,0),Masterdata!$B$4&lt;$E37),
AND(Masterdata!$B$3&lt;&gt;DATE(1900,1,0),Masterdata!$B$3&gt;$E37)
),
"0:00",
IF(
$H37&gt;TIME(0,0,0),
IF(
NOT(OR($C37="Monday", $C37="Tuesday",$C37="Wednesday",$C37="Thursday",$C37="Friday")),
TEXT($H37,"[tt]:mm"),
IF($H37-$W$9&gt;=0,TEXT($H37-$W$9,"[tt]:mm"),"-"&amp;TEXT(ABS($H37-$W$9),"[tt]:mm"))
),
IF(
NOT(OR($C37="Monday", $C37="Tuesday",$C37="Wednesday",$C37="Thursday",$C37="Friday")),
IF($J37-$I37&gt;=0,TEXT($J37-$I37,"[tt]:mm"),"-"&amp;TEXT(ABS($J37-$I37),"[tt]:mm")),
IFERROR(
IF($G37-$W$9=0,
IF($G37-$W$9&gt;=0,TEXT($G37-$W$9,"[tt]:mm"),"-"&amp;TEXT(ABS($G37-$W$9),"[tt]:mm")),
IF($J37-$I37&gt;=0,TEXT($J37-$I37,"[tt]:mm"),"-"&amp;TEXT(ABS($J37-$I37),"[tt]:mm"))
),
IF(
$J37-$I37-$W$9&gt;=0,
TEXT($J37-$I37-$W$9,"[tt]:mm"),
"-"&amp;TEXT(ABS($J37-$I37-$W$9),"[tt]:mm")
)
)
)
)
))</f>
        <v>0:00</v>
      </c>
      <c r="M37" s="73" t="str">
        <f t="shared" si="12"/>
        <v>0</v>
      </c>
      <c r="N37" s="25" t="str">
        <f t="shared" si="5"/>
        <v>0:</v>
      </c>
      <c r="O37" s="56" t="str">
        <f t="shared" si="6"/>
        <v>0</v>
      </c>
      <c r="P37" s="57">
        <f t="shared" si="10"/>
        <v>0</v>
      </c>
      <c r="Q37" s="31">
        <f t="shared" si="13"/>
        <v>0</v>
      </c>
      <c r="R37" s="100"/>
      <c r="S37" s="10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15.75" x14ac:dyDescent="0.25">
      <c r="A38" s="30"/>
      <c r="B38" s="30"/>
      <c r="C38" s="30"/>
      <c r="D38" s="30"/>
      <c r="E38" s="30"/>
      <c r="F38" s="30"/>
      <c r="G38" s="30"/>
      <c r="H38" s="30"/>
      <c r="I38" s="30"/>
      <c r="J38" s="30"/>
      <c r="K38" s="30"/>
      <c r="L38" s="75"/>
      <c r="M38" s="30"/>
      <c r="N38" s="30"/>
      <c r="O38" s="30"/>
      <c r="P38" s="30"/>
      <c r="Q38" s="31">
        <f>SUM(Q8:Q37)</f>
        <v>0</v>
      </c>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5.75"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15.7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5.7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15.7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ht="15.7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ht="15.7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ht="15.7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ht="15.7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row>
    <row r="50" spans="1:44" ht="15.7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ht="15.7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7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1:44" ht="15.7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44" ht="15.7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ht="15.7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44" ht="15.7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ht="15.7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ht="15.7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ht="15.7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ht="15.7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ht="15.7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ht="15.7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15.7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row>
    <row r="64" spans="1:44" ht="15.7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row>
    <row r="65" spans="1:44" ht="15.7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15.7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5.7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row>
    <row r="68" spans="1:44" ht="15.7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ht="15.7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row>
    <row r="70" spans="1:44" ht="15.7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ht="15.7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15.7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ht="15.7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ht="15.7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ht="15.7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row>
    <row r="76" spans="1:44" ht="15.7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ht="15.75" x14ac:dyDescent="0.25">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row>
  </sheetData>
  <sheetProtection algorithmName="SHA-512" hashValue="48hYJ1rzGsn7gGFoNK3X4REP0Klb590rixJSMcGFb/66O2dJa/IbNI0qJEmJoxZZ9r8u23yqv7aZXsn8W24Stw==" saltValue="3/5iu+Ki0LwmdZ88CqBTTQ==" spinCount="100000" sheet="1" objects="1" scenarios="1"/>
  <mergeCells count="36">
    <mergeCell ref="R13:S13"/>
    <mergeCell ref="R1:S1"/>
    <mergeCell ref="R2:S2"/>
    <mergeCell ref="R3:S3"/>
    <mergeCell ref="R4:S4"/>
    <mergeCell ref="R5:S5"/>
    <mergeCell ref="R7:S7"/>
    <mergeCell ref="R8:S8"/>
    <mergeCell ref="R9:S9"/>
    <mergeCell ref="R10:S10"/>
    <mergeCell ref="R11:S11"/>
    <mergeCell ref="R12:S12"/>
    <mergeCell ref="R25:S25"/>
    <mergeCell ref="R14:S14"/>
    <mergeCell ref="R15:S15"/>
    <mergeCell ref="R16:S16"/>
    <mergeCell ref="R17:S17"/>
    <mergeCell ref="R18:S18"/>
    <mergeCell ref="R19:S19"/>
    <mergeCell ref="R20:S20"/>
    <mergeCell ref="R21:S21"/>
    <mergeCell ref="R22:S22"/>
    <mergeCell ref="R23:S23"/>
    <mergeCell ref="R24:S24"/>
    <mergeCell ref="R37:S37"/>
    <mergeCell ref="R26:S26"/>
    <mergeCell ref="R27:S27"/>
    <mergeCell ref="R28:S28"/>
    <mergeCell ref="R29:S29"/>
    <mergeCell ref="R30:S30"/>
    <mergeCell ref="R31:S31"/>
    <mergeCell ref="R32:S32"/>
    <mergeCell ref="R33:S33"/>
    <mergeCell ref="R34:S34"/>
    <mergeCell ref="R35:S35"/>
    <mergeCell ref="R36:S36"/>
  </mergeCells>
  <conditionalFormatting sqref="A8:G37">
    <cfRule type="expression" dxfId="35" priority="2">
      <formula>NOT(OR($C8="Monday", $C8="Tuesday",$C8="Wednesday",$C8="Thursday",$C8="Friday"))</formula>
    </cfRule>
  </conditionalFormatting>
  <conditionalFormatting sqref="G8:G37">
    <cfRule type="expression" dxfId="34" priority="4">
      <formula>AND($F8="N", (OR($C8="Monday", $C8="Tuesday",$C8="Wednesday",$C8="Thursday",$C8="Friday")))</formula>
    </cfRule>
  </conditionalFormatting>
  <conditionalFormatting sqref="H8:J37">
    <cfRule type="expression" dxfId="33" priority="1">
      <formula>OR($F8="N")</formula>
    </cfRule>
    <cfRule type="expression" dxfId="32" priority="3">
      <formula>$F8="R"</formula>
    </cfRule>
  </conditionalFormatting>
  <dataValidations count="1">
    <dataValidation type="list" allowBlank="1" showInputMessage="1" showErrorMessage="1" sqref="F8:F37" xr:uid="{F81B57C6-2AD6-47BF-B460-AB3C69D65B81}">
      <formula1>$L$3:$L$4</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7B53-0BB3-4E9F-B577-BD0FEBF45931}">
  <dimension ref="A1:AR77"/>
  <sheetViews>
    <sheetView zoomScale="70" zoomScaleNormal="70" workbookViewId="0">
      <selection activeCell="C1" sqref="C1"/>
    </sheetView>
  </sheetViews>
  <sheetFormatPr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6" width="7.5703125" hidden="1" customWidth="1" outlineLevel="1"/>
    <col min="17" max="17" width="2"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9.140625" collapsed="1"/>
  </cols>
  <sheetData>
    <row r="1" spans="1:44"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51"/>
      <c r="U1" s="51"/>
      <c r="V1" s="51"/>
      <c r="W1" s="30"/>
      <c r="X1" s="30"/>
      <c r="Y1" s="30"/>
      <c r="Z1" s="30"/>
      <c r="AA1" s="30"/>
      <c r="AB1" s="30"/>
      <c r="AC1" s="30"/>
      <c r="AD1" s="30"/>
      <c r="AE1" s="30"/>
      <c r="AF1" s="30"/>
      <c r="AG1" s="30"/>
      <c r="AH1" s="30"/>
      <c r="AI1" s="30"/>
      <c r="AJ1" s="30"/>
      <c r="AK1" s="30"/>
      <c r="AL1" s="30"/>
      <c r="AM1" s="30"/>
      <c r="AN1" s="30"/>
      <c r="AO1" s="30"/>
      <c r="AP1" s="30"/>
      <c r="AQ1" s="30"/>
      <c r="AR1" s="30"/>
    </row>
    <row r="2" spans="1:44" ht="16.5" x14ac:dyDescent="0.3">
      <c r="A2" s="44" t="s">
        <v>92</v>
      </c>
      <c r="B2" s="71" t="str">
        <f>Masterdata!$D$27</f>
        <v>00:00</v>
      </c>
      <c r="C2" s="30"/>
      <c r="D2" s="30"/>
      <c r="E2" s="30"/>
      <c r="F2" s="30"/>
      <c r="G2" s="30"/>
      <c r="H2" s="30"/>
      <c r="I2" s="30"/>
      <c r="J2" s="30"/>
      <c r="K2" s="30"/>
      <c r="L2" s="90"/>
      <c r="R2" s="106"/>
      <c r="S2" s="107"/>
      <c r="T2" s="51"/>
      <c r="U2" s="51"/>
      <c r="V2" s="51"/>
      <c r="W2" s="30"/>
      <c r="X2" s="30"/>
      <c r="Y2" s="30"/>
      <c r="Z2" s="30"/>
      <c r="AA2" s="30"/>
      <c r="AB2" s="30"/>
      <c r="AC2" s="30"/>
      <c r="AD2" s="30"/>
      <c r="AE2" s="30"/>
      <c r="AF2" s="30"/>
      <c r="AG2" s="30"/>
      <c r="AH2" s="30"/>
      <c r="AI2" s="30"/>
      <c r="AJ2" s="30"/>
      <c r="AK2" s="30"/>
      <c r="AL2" s="30"/>
      <c r="AM2" s="30"/>
      <c r="AN2" s="30"/>
      <c r="AO2" s="30"/>
      <c r="AP2" s="30"/>
      <c r="AQ2" s="30"/>
      <c r="AR2" s="30"/>
    </row>
    <row r="3" spans="1:44" ht="31.5" customHeight="1" x14ac:dyDescent="0.25">
      <c r="A3" s="47" t="s">
        <v>109</v>
      </c>
      <c r="B3" s="71" t="str">
        <f>IF(Q39&lt;0,"-"&amp;TEXT(ABS(Q39/24),"[tt]:mm"),TEXT(Q39/24,"[tt]:mm"))</f>
        <v>00:00</v>
      </c>
      <c r="C3" s="30"/>
      <c r="D3" s="30"/>
      <c r="E3" s="30"/>
      <c r="F3" s="30"/>
      <c r="G3" s="30"/>
      <c r="H3" s="30"/>
      <c r="I3" s="30"/>
      <c r="J3" s="30"/>
      <c r="K3" s="30"/>
      <c r="L3" s="91" t="s">
        <v>18</v>
      </c>
      <c r="R3" s="108" t="s">
        <v>130</v>
      </c>
      <c r="S3" s="109"/>
      <c r="T3" s="52"/>
      <c r="U3" s="52"/>
      <c r="V3" s="52"/>
      <c r="W3" s="30"/>
      <c r="X3" s="30"/>
      <c r="Y3" s="30"/>
      <c r="Z3" s="30"/>
      <c r="AA3" s="30"/>
      <c r="AB3" s="30"/>
      <c r="AC3" s="30"/>
      <c r="AD3" s="30"/>
      <c r="AE3" s="30"/>
      <c r="AF3" s="30"/>
      <c r="AG3" s="30"/>
      <c r="AH3" s="30"/>
      <c r="AI3" s="30"/>
      <c r="AJ3" s="30"/>
      <c r="AK3" s="30"/>
      <c r="AL3" s="30"/>
      <c r="AM3" s="30"/>
      <c r="AN3" s="30"/>
      <c r="AO3" s="30"/>
      <c r="AP3" s="30"/>
      <c r="AQ3" s="30"/>
      <c r="AR3" s="30"/>
    </row>
    <row r="4" spans="1:44" ht="54.95" customHeight="1" x14ac:dyDescent="0.25">
      <c r="A4" s="17" t="s">
        <v>110</v>
      </c>
      <c r="B4" s="48">
        <f>Masterdata!$B$5</f>
        <v>2025</v>
      </c>
      <c r="C4" s="30"/>
      <c r="D4" s="30"/>
      <c r="E4" s="30"/>
      <c r="F4" s="30"/>
      <c r="G4" s="30"/>
      <c r="H4" s="30"/>
      <c r="I4" s="30"/>
      <c r="J4" s="30"/>
      <c r="K4" s="30"/>
      <c r="L4" s="92" t="s">
        <v>19</v>
      </c>
      <c r="R4" s="110" t="s">
        <v>132</v>
      </c>
      <c r="S4" s="111"/>
      <c r="T4" s="53"/>
      <c r="U4" s="53"/>
      <c r="V4" s="53"/>
      <c r="W4" s="30"/>
      <c r="X4" s="30"/>
      <c r="Y4" s="30"/>
      <c r="Z4" s="30"/>
      <c r="AA4" s="30"/>
      <c r="AB4" s="30"/>
      <c r="AC4" s="30"/>
      <c r="AD4" s="30"/>
      <c r="AE4" s="30"/>
      <c r="AF4" s="30"/>
      <c r="AG4" s="30"/>
      <c r="AH4" s="30"/>
      <c r="AI4" s="30"/>
      <c r="AJ4" s="30"/>
      <c r="AK4" s="30"/>
      <c r="AL4" s="30"/>
      <c r="AM4" s="30"/>
      <c r="AN4" s="30"/>
      <c r="AO4" s="30"/>
      <c r="AP4" s="30"/>
      <c r="AQ4" s="30"/>
      <c r="AR4" s="30"/>
    </row>
    <row r="5" spans="1:44" ht="16.5" thickBot="1" x14ac:dyDescent="0.3">
      <c r="A5" s="13" t="s">
        <v>89</v>
      </c>
      <c r="B5" s="18" t="s">
        <v>126</v>
      </c>
      <c r="C5" s="30"/>
      <c r="D5" s="30"/>
      <c r="E5" s="30"/>
      <c r="F5" s="30"/>
      <c r="G5" s="30"/>
      <c r="H5" s="30"/>
      <c r="I5" s="30"/>
      <c r="J5" s="30"/>
      <c r="K5" s="30"/>
      <c r="L5" s="93" t="s">
        <v>118</v>
      </c>
      <c r="M5" s="94"/>
      <c r="N5" s="94"/>
      <c r="O5" s="94"/>
      <c r="P5" s="94"/>
      <c r="Q5" s="94"/>
      <c r="R5" s="112" t="s">
        <v>119</v>
      </c>
      <c r="S5" s="113"/>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6.5" thickBot="1"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Q7" s="30"/>
      <c r="R7" s="102" t="s">
        <v>121</v>
      </c>
      <c r="S7" s="103"/>
      <c r="T7" s="30"/>
      <c r="U7" s="30"/>
      <c r="V7" s="30" t="s">
        <v>27</v>
      </c>
      <c r="W7" s="30">
        <v>5</v>
      </c>
      <c r="X7" s="30"/>
      <c r="Y7" s="30"/>
      <c r="Z7" s="30"/>
      <c r="AA7" s="30"/>
      <c r="AB7" s="30"/>
      <c r="AC7" s="30"/>
      <c r="AD7" s="30"/>
      <c r="AE7" s="30"/>
      <c r="AF7" s="30"/>
      <c r="AG7" s="30"/>
      <c r="AH7" s="30"/>
      <c r="AI7" s="30"/>
      <c r="AJ7" s="30"/>
      <c r="AK7" s="30"/>
      <c r="AL7" s="30"/>
      <c r="AM7" s="30"/>
      <c r="AN7" s="30"/>
      <c r="AO7" s="30"/>
      <c r="AP7" s="30"/>
      <c r="AQ7" s="30"/>
      <c r="AR7" s="30"/>
    </row>
    <row r="8" spans="1:44" ht="15.75" x14ac:dyDescent="0.25">
      <c r="A8" s="7">
        <f>WEEKNUM($B8,21)</f>
        <v>18</v>
      </c>
      <c r="B8" s="8">
        <f>DATE(Masterdata!$B$5,5,1)</f>
        <v>45778</v>
      </c>
      <c r="C8" s="9" t="str" cm="1">
        <f t="array" ref="C8">_xlfn.XLOOKUP(E8,Masterdata!$B$31:$B$44,Masterdata!$A$31:$A$44,_xlfn.SWITCH(WEEKDAY($D8, 2), 1, "Monday", 2, "Tuesday", 3, "Wednesday", 4, "Thursday", 5, "Friday", 6, "Saturday", 7, "Sunday"),0)</f>
        <v>Thursday</v>
      </c>
      <c r="D8" s="30">
        <f t="shared" ref="D8:D38" si="0">WEEKDAY($B8, 2)+1</f>
        <v>5</v>
      </c>
      <c r="E8" s="72">
        <f>$B8</f>
        <v>45778</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0.30833333333333335</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73" t="str">
        <f>LEFT(L8,1)</f>
        <v>0</v>
      </c>
      <c r="N8" s="25" t="str">
        <f>IF($M8="-",LEFT($L8,3),LEFT($L8,2))</f>
        <v>0:</v>
      </c>
      <c r="O8" s="56" t="str">
        <f>IF($M8="-",MID($L8,5,2),MID($L8,4,2))</f>
        <v>0</v>
      </c>
      <c r="P8" s="57">
        <f>O8/60</f>
        <v>0</v>
      </c>
      <c r="Q8" s="31">
        <f>IF(M8="-",N8-P8,N8+P8)</f>
        <v>0</v>
      </c>
      <c r="R8" s="101"/>
      <c r="S8" s="101"/>
      <c r="T8" s="30"/>
      <c r="U8" s="30"/>
      <c r="V8" s="30" t="s">
        <v>28</v>
      </c>
      <c r="W8" s="74">
        <f>B1/W7</f>
        <v>7.4</v>
      </c>
      <c r="X8" s="30">
        <v>0</v>
      </c>
      <c r="Y8" s="75"/>
      <c r="Z8" s="30"/>
      <c r="AA8" s="30"/>
      <c r="AB8" s="30"/>
      <c r="AC8" s="30"/>
      <c r="AD8" s="30"/>
      <c r="AE8" s="30"/>
      <c r="AF8" s="30"/>
      <c r="AG8" s="30"/>
      <c r="AH8" s="30"/>
      <c r="AI8" s="30"/>
      <c r="AJ8" s="30"/>
      <c r="AK8" s="30"/>
      <c r="AL8" s="30"/>
      <c r="AM8" s="30"/>
      <c r="AN8" s="30"/>
      <c r="AO8" s="30"/>
      <c r="AP8" s="30"/>
      <c r="AQ8" s="30"/>
      <c r="AR8" s="30"/>
    </row>
    <row r="9" spans="1:44" ht="15.75" x14ac:dyDescent="0.25">
      <c r="A9" s="7">
        <f t="shared" ref="A9:A38" si="1">WEEKNUM($B9,21)</f>
        <v>18</v>
      </c>
      <c r="B9" s="8">
        <f>B8+1</f>
        <v>45779</v>
      </c>
      <c r="C9" s="9" t="str" cm="1">
        <f t="array" ref="C9">_xlfn.XLOOKUP(E9,Masterdata!$B$31:$B$44,Masterdata!$A$31:$A$44,_xlfn.SWITCH(WEEKDAY($D9, 2), 1, "Monday", 2, "Tuesday", 3, "Wednesday", 4, "Thursday", 5, "Friday", 6, "Saturday", 7, "Sunday"),0)</f>
        <v>Friday</v>
      </c>
      <c r="D9" s="30">
        <f t="shared" si="0"/>
        <v>6</v>
      </c>
      <c r="E9" s="72">
        <f t="shared" ref="E9:E38" si="2">$B9</f>
        <v>45779</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0.30833333333333335</v>
      </c>
      <c r="H9" s="11">
        <v>0</v>
      </c>
      <c r="I9" s="11">
        <v>0</v>
      </c>
      <c r="J9" s="11">
        <v>0</v>
      </c>
      <c r="K9" s="27" t="str">
        <f t="shared" ref="K9:K38"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73" t="str">
        <f t="shared" ref="M9:M19" si="4">LEFT(L9,1)</f>
        <v>0</v>
      </c>
      <c r="N9" s="25" t="str">
        <f t="shared" ref="N9:N38" si="5">IF($M9="-",LEFT($L9,3),LEFT($L9,2))</f>
        <v>0:</v>
      </c>
      <c r="O9" s="56" t="str">
        <f t="shared" ref="O9:O38" si="6">IF($M9="-",MID($L9,5,2),MID($L9,4,2))</f>
        <v>0</v>
      </c>
      <c r="P9" s="57">
        <f t="shared" ref="P9:P13" si="7">O9/60</f>
        <v>0</v>
      </c>
      <c r="Q9" s="31">
        <f t="shared" ref="Q9:Q13" si="8">IF(M9="-",N9-P9,N9+P9)</f>
        <v>0</v>
      </c>
      <c r="R9" s="101"/>
      <c r="S9" s="101"/>
      <c r="T9" s="30"/>
      <c r="U9" s="30"/>
      <c r="V9" s="30" t="s">
        <v>29</v>
      </c>
      <c r="W9" s="75">
        <f>W8/24</f>
        <v>0.30833333333333335</v>
      </c>
      <c r="X9" s="30"/>
      <c r="Y9" s="30"/>
      <c r="Z9" s="30"/>
      <c r="AA9" s="30"/>
      <c r="AB9" s="30"/>
      <c r="AC9" s="30"/>
      <c r="AD9" s="30"/>
      <c r="AE9" s="30"/>
      <c r="AF9" s="30"/>
      <c r="AG9" s="30"/>
      <c r="AH9" s="30"/>
      <c r="AI9" s="30"/>
      <c r="AJ9" s="30"/>
      <c r="AK9" s="30"/>
      <c r="AL9" s="30"/>
      <c r="AM9" s="30"/>
      <c r="AN9" s="30"/>
      <c r="AO9" s="30"/>
      <c r="AP9" s="30"/>
      <c r="AQ9" s="30"/>
      <c r="AR9" s="30"/>
    </row>
    <row r="10" spans="1:44" ht="15.75" x14ac:dyDescent="0.25">
      <c r="A10" s="7">
        <f t="shared" si="1"/>
        <v>18</v>
      </c>
      <c r="B10" s="8">
        <f t="shared" ref="B10:B38" si="9">B9+1</f>
        <v>45780</v>
      </c>
      <c r="C10" s="9" t="str" cm="1">
        <f t="array" ref="C10">_xlfn.XLOOKUP(E10,Masterdata!$B$31:$B$44,Masterdata!$A$31:$A$44,_xlfn.SWITCH(WEEKDAY($D10, 2), 1, "Monday", 2, "Tuesday", 3, "Wednesday", 4, "Thursday", 5, "Friday", 6, "Saturday", 7, "Sunday"),0)</f>
        <v>Saturday</v>
      </c>
      <c r="D10" s="30">
        <f t="shared" si="0"/>
        <v>7</v>
      </c>
      <c r="E10" s="72">
        <f t="shared" si="2"/>
        <v>45780</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73" t="str">
        <f t="shared" si="4"/>
        <v>0</v>
      </c>
      <c r="N10" s="25" t="str">
        <f t="shared" si="5"/>
        <v>0:</v>
      </c>
      <c r="O10" s="56" t="str">
        <f t="shared" si="6"/>
        <v>0</v>
      </c>
      <c r="P10" s="57">
        <f t="shared" si="7"/>
        <v>0</v>
      </c>
      <c r="Q10" s="31">
        <f t="shared" si="8"/>
        <v>0</v>
      </c>
      <c r="R10" s="101"/>
      <c r="S10" s="101"/>
      <c r="T10" s="30" t="s">
        <v>18</v>
      </c>
      <c r="U10" s="30" t="s">
        <v>30</v>
      </c>
      <c r="V10" s="30" t="s">
        <v>31</v>
      </c>
      <c r="W10" s="31">
        <f>(B1/37)*160.33</f>
        <v>160.33000000000001</v>
      </c>
      <c r="X10" s="30"/>
      <c r="Y10" s="30"/>
      <c r="Z10" s="30"/>
      <c r="AA10" s="30"/>
      <c r="AB10" s="30"/>
      <c r="AC10" s="30"/>
      <c r="AD10" s="30"/>
      <c r="AE10" s="30"/>
      <c r="AF10" s="30"/>
      <c r="AG10" s="30"/>
      <c r="AH10" s="30"/>
      <c r="AI10" s="30"/>
      <c r="AJ10" s="30"/>
      <c r="AK10" s="30"/>
      <c r="AL10" s="30"/>
      <c r="AM10" s="30"/>
      <c r="AN10" s="30"/>
      <c r="AO10" s="30"/>
      <c r="AP10" s="30"/>
      <c r="AQ10" s="30"/>
      <c r="AR10" s="30"/>
    </row>
    <row r="11" spans="1:44" ht="15.75" x14ac:dyDescent="0.25">
      <c r="A11" s="7">
        <f t="shared" si="1"/>
        <v>18</v>
      </c>
      <c r="B11" s="8">
        <f t="shared" si="9"/>
        <v>45781</v>
      </c>
      <c r="C11" s="9" t="str" cm="1">
        <f t="array" ref="C11">_xlfn.XLOOKUP(E11,Masterdata!$B$31:$B$44,Masterdata!$A$31:$A$44,_xlfn.SWITCH(WEEKDAY($D11, 2), 1, "Monday", 2, "Tuesday", 3, "Wednesday", 4, "Thursday", 5, "Friday", 6, "Saturday", 7, "Sunday"),0)</f>
        <v>Sunday</v>
      </c>
      <c r="D11" s="30">
        <f t="shared" si="0"/>
        <v>8</v>
      </c>
      <c r="E11" s="72">
        <f t="shared" si="2"/>
        <v>45781</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73" t="str">
        <f t="shared" si="4"/>
        <v>0</v>
      </c>
      <c r="N11" s="25" t="str">
        <f t="shared" si="5"/>
        <v>0:</v>
      </c>
      <c r="O11" s="56" t="str">
        <f t="shared" si="6"/>
        <v>0</v>
      </c>
      <c r="P11" s="57">
        <f t="shared" si="7"/>
        <v>0</v>
      </c>
      <c r="Q11" s="31">
        <f t="shared" si="8"/>
        <v>0</v>
      </c>
      <c r="R11" s="101"/>
      <c r="S11" s="10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75" x14ac:dyDescent="0.25">
      <c r="A12" s="7">
        <f t="shared" si="1"/>
        <v>19</v>
      </c>
      <c r="B12" s="8">
        <f t="shared" si="9"/>
        <v>45782</v>
      </c>
      <c r="C12" s="9" t="str" cm="1">
        <f t="array" ref="C12">_xlfn.XLOOKUP(E12,Masterdata!$B$31:$B$44,Masterdata!$A$31:$A$44,_xlfn.SWITCH(WEEKDAY($D12, 2), 1, "Monday", 2, "Tuesday", 3, "Wednesday", 4, "Thursday", 5, "Friday", 6, "Saturday", 7, "Sunday"),0)</f>
        <v>Monday</v>
      </c>
      <c r="D12" s="30">
        <f t="shared" si="0"/>
        <v>2</v>
      </c>
      <c r="E12" s="72">
        <f t="shared" si="2"/>
        <v>45782</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0.30833333333333335</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73" t="str">
        <f t="shared" si="4"/>
        <v>0</v>
      </c>
      <c r="N12" s="25" t="str">
        <f t="shared" si="5"/>
        <v>0:</v>
      </c>
      <c r="O12" s="56" t="str">
        <f t="shared" si="6"/>
        <v>0</v>
      </c>
      <c r="P12" s="57">
        <f t="shared" si="7"/>
        <v>0</v>
      </c>
      <c r="Q12" s="31">
        <f t="shared" si="8"/>
        <v>0</v>
      </c>
      <c r="R12" s="101"/>
      <c r="S12" s="101"/>
      <c r="T12" s="30"/>
      <c r="U12" s="30"/>
      <c r="V12" s="30"/>
      <c r="W12" s="31"/>
      <c r="X12" s="30"/>
      <c r="Y12" s="30"/>
      <c r="Z12" s="30"/>
      <c r="AA12" s="30"/>
      <c r="AB12" s="30"/>
      <c r="AC12" s="30"/>
      <c r="AD12" s="30"/>
      <c r="AE12" s="30"/>
      <c r="AF12" s="30"/>
      <c r="AG12" s="30"/>
      <c r="AH12" s="30"/>
      <c r="AI12" s="30"/>
      <c r="AJ12" s="30"/>
      <c r="AK12" s="30"/>
      <c r="AL12" s="30"/>
      <c r="AM12" s="30"/>
      <c r="AN12" s="30"/>
      <c r="AO12" s="30"/>
      <c r="AP12" s="30"/>
      <c r="AQ12" s="30"/>
      <c r="AR12" s="30"/>
    </row>
    <row r="13" spans="1:44" ht="15.75" x14ac:dyDescent="0.25">
      <c r="A13" s="7">
        <f t="shared" si="1"/>
        <v>19</v>
      </c>
      <c r="B13" s="8">
        <f t="shared" si="9"/>
        <v>45783</v>
      </c>
      <c r="C13" s="9" t="str" cm="1">
        <f t="array" ref="C13">_xlfn.XLOOKUP(E13,Masterdata!$B$31:$B$44,Masterdata!$A$31:$A$44,_xlfn.SWITCH(WEEKDAY($D13, 2), 1, "Monday", 2, "Tuesday", 3, "Wednesday", 4, "Thursday", 5, "Friday", 6, "Saturday", 7, "Sunday"),0)</f>
        <v>Tuesday</v>
      </c>
      <c r="D13" s="30">
        <f t="shared" si="0"/>
        <v>3</v>
      </c>
      <c r="E13" s="72">
        <f t="shared" si="2"/>
        <v>45783</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0.30833333333333335</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73" t="str">
        <f t="shared" si="4"/>
        <v>0</v>
      </c>
      <c r="N13" s="25" t="str">
        <f t="shared" si="5"/>
        <v>0:</v>
      </c>
      <c r="O13" s="56" t="str">
        <f t="shared" si="6"/>
        <v>0</v>
      </c>
      <c r="P13" s="57">
        <f t="shared" si="7"/>
        <v>0</v>
      </c>
      <c r="Q13" s="31">
        <f t="shared" si="8"/>
        <v>0</v>
      </c>
      <c r="R13" s="100"/>
      <c r="S13" s="100"/>
      <c r="T13" s="30"/>
      <c r="U13" s="30"/>
      <c r="V13" s="30"/>
      <c r="W13" s="76"/>
      <c r="X13" s="30"/>
      <c r="Y13" s="30"/>
      <c r="Z13" s="30"/>
      <c r="AA13" s="30"/>
      <c r="AB13" s="30"/>
      <c r="AC13" s="30"/>
      <c r="AD13" s="30"/>
      <c r="AE13" s="30"/>
      <c r="AF13" s="30"/>
      <c r="AG13" s="30"/>
      <c r="AH13" s="30"/>
      <c r="AI13" s="30"/>
      <c r="AJ13" s="30"/>
      <c r="AK13" s="30"/>
      <c r="AL13" s="30"/>
      <c r="AM13" s="30"/>
      <c r="AN13" s="30"/>
      <c r="AO13" s="30"/>
      <c r="AP13" s="30"/>
      <c r="AQ13" s="30"/>
      <c r="AR13" s="30"/>
    </row>
    <row r="14" spans="1:44" ht="15.75" x14ac:dyDescent="0.25">
      <c r="A14" s="7">
        <f t="shared" si="1"/>
        <v>19</v>
      </c>
      <c r="B14" s="8">
        <f t="shared" si="9"/>
        <v>45784</v>
      </c>
      <c r="C14" s="9" t="str" cm="1">
        <f t="array" ref="C14">_xlfn.XLOOKUP(E14,Masterdata!$B$31:$B$44,Masterdata!$A$31:$A$44,_xlfn.SWITCH(WEEKDAY($D14, 2), 1, "Monday", 2, "Tuesday", 3, "Wednesday", 4, "Thursday", 5, "Friday", 6, "Saturday", 7, "Sunday"),0)</f>
        <v>Wednesday</v>
      </c>
      <c r="D14" s="30">
        <f t="shared" si="0"/>
        <v>4</v>
      </c>
      <c r="E14" s="72">
        <f t="shared" si="2"/>
        <v>45784</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0.30833333333333335</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73" t="str">
        <f t="shared" si="4"/>
        <v>0</v>
      </c>
      <c r="N14" s="25" t="str">
        <f t="shared" si="5"/>
        <v>0:</v>
      </c>
      <c r="O14" s="56" t="str">
        <f t="shared" si="6"/>
        <v>0</v>
      </c>
      <c r="P14" s="57">
        <f>O14/60</f>
        <v>0</v>
      </c>
      <c r="Q14" s="31">
        <f>IF(M14="-",N14-P14,N14+P14)</f>
        <v>0</v>
      </c>
      <c r="R14" s="100"/>
      <c r="S14" s="10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75" x14ac:dyDescent="0.25">
      <c r="A15" s="7">
        <f t="shared" si="1"/>
        <v>19</v>
      </c>
      <c r="B15" s="8">
        <f t="shared" si="9"/>
        <v>45785</v>
      </c>
      <c r="C15" s="9" t="str" cm="1">
        <f t="array" ref="C15">_xlfn.XLOOKUP(E15,Masterdata!$B$31:$B$44,Masterdata!$A$31:$A$44,_xlfn.SWITCH(WEEKDAY($D15, 2), 1, "Monday", 2, "Tuesday", 3, "Wednesday", 4, "Thursday", 5, "Friday", 6, "Saturday", 7, "Sunday"),0)</f>
        <v>Thursday</v>
      </c>
      <c r="D15" s="30">
        <f t="shared" si="0"/>
        <v>5</v>
      </c>
      <c r="E15" s="72">
        <f t="shared" si="2"/>
        <v>45785</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0.30833333333333335</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73" t="str">
        <f t="shared" si="4"/>
        <v>0</v>
      </c>
      <c r="N15" s="25" t="str">
        <f t="shared" si="5"/>
        <v>0:</v>
      </c>
      <c r="O15" s="56" t="str">
        <f t="shared" si="6"/>
        <v>0</v>
      </c>
      <c r="P15" s="57">
        <f t="shared" ref="P15:P38" si="10">O15/60</f>
        <v>0</v>
      </c>
      <c r="Q15" s="31">
        <f t="shared" ref="Q15:Q19" si="11">IF(M15="-",N15-P15,N15+P15)</f>
        <v>0</v>
      </c>
      <c r="R15" s="100"/>
      <c r="S15" s="100"/>
      <c r="T15" s="30" t="s">
        <v>32</v>
      </c>
      <c r="U15" s="30" t="s">
        <v>33</v>
      </c>
      <c r="V15" s="30" t="s">
        <v>34</v>
      </c>
      <c r="W15" s="31">
        <f>W10-W13</f>
        <v>160.33000000000001</v>
      </c>
      <c r="X15" s="30"/>
      <c r="Y15" s="30"/>
      <c r="Z15" s="30"/>
      <c r="AA15" s="30"/>
      <c r="AB15" s="30"/>
      <c r="AC15" s="30"/>
      <c r="AD15" s="30"/>
      <c r="AE15" s="30"/>
      <c r="AF15" s="30"/>
      <c r="AG15" s="30"/>
      <c r="AH15" s="30"/>
      <c r="AI15" s="30"/>
      <c r="AJ15" s="30"/>
      <c r="AK15" s="30"/>
      <c r="AL15" s="30"/>
      <c r="AM15" s="30"/>
      <c r="AN15" s="30"/>
      <c r="AO15" s="30"/>
      <c r="AP15" s="30"/>
      <c r="AQ15" s="30"/>
      <c r="AR15" s="30"/>
    </row>
    <row r="16" spans="1:44" ht="15.75" x14ac:dyDescent="0.25">
      <c r="A16" s="7">
        <f t="shared" si="1"/>
        <v>19</v>
      </c>
      <c r="B16" s="8">
        <f t="shared" si="9"/>
        <v>45786</v>
      </c>
      <c r="C16" s="9" t="str" cm="1">
        <f t="array" ref="C16">_xlfn.XLOOKUP(E16,Masterdata!$B$31:$B$44,Masterdata!$A$31:$A$44,_xlfn.SWITCH(WEEKDAY($D16, 2), 1, "Monday", 2, "Tuesday", 3, "Wednesday", 4, "Thursday", 5, "Friday", 6, "Saturday", 7, "Sunday"),0)</f>
        <v>Friday</v>
      </c>
      <c r="D16" s="30">
        <f t="shared" si="0"/>
        <v>6</v>
      </c>
      <c r="E16" s="72">
        <f t="shared" si="2"/>
        <v>45786</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0.30833333333333335</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73" t="str">
        <f t="shared" si="4"/>
        <v>0</v>
      </c>
      <c r="N16" s="25" t="str">
        <f t="shared" si="5"/>
        <v>0:</v>
      </c>
      <c r="O16" s="56" t="str">
        <f t="shared" si="6"/>
        <v>0</v>
      </c>
      <c r="P16" s="57">
        <f t="shared" si="10"/>
        <v>0</v>
      </c>
      <c r="Q16" s="31">
        <f t="shared" si="11"/>
        <v>0</v>
      </c>
      <c r="R16" s="100"/>
      <c r="S16" s="100"/>
      <c r="T16" s="30" t="s">
        <v>35</v>
      </c>
      <c r="U16" s="30" t="s">
        <v>36</v>
      </c>
      <c r="V16" s="30" t="s">
        <v>37</v>
      </c>
      <c r="W16" s="31" t="e">
        <f>SUM(#REF!)</f>
        <v>#REF!</v>
      </c>
      <c r="X16" s="30"/>
      <c r="Y16" s="30"/>
      <c r="Z16" s="30"/>
      <c r="AA16" s="30"/>
      <c r="AB16" s="30"/>
      <c r="AC16" s="30"/>
      <c r="AD16" s="30"/>
      <c r="AE16" s="30"/>
      <c r="AF16" s="30"/>
      <c r="AG16" s="30"/>
      <c r="AH16" s="30"/>
      <c r="AI16" s="30"/>
      <c r="AJ16" s="30"/>
      <c r="AK16" s="30"/>
      <c r="AL16" s="30"/>
      <c r="AM16" s="30"/>
      <c r="AN16" s="30"/>
      <c r="AO16" s="30"/>
      <c r="AP16" s="30"/>
      <c r="AQ16" s="30"/>
      <c r="AR16" s="30"/>
    </row>
    <row r="17" spans="1:44" ht="15.75" x14ac:dyDescent="0.25">
      <c r="A17" s="7">
        <f t="shared" si="1"/>
        <v>19</v>
      </c>
      <c r="B17" s="8">
        <f t="shared" si="9"/>
        <v>45787</v>
      </c>
      <c r="C17" s="9" t="str" cm="1">
        <f t="array" ref="C17">_xlfn.XLOOKUP(E17,Masterdata!$B$31:$B$44,Masterdata!$A$31:$A$44,_xlfn.SWITCH(WEEKDAY($D17, 2), 1, "Monday", 2, "Tuesday", 3, "Wednesday", 4, "Thursday", 5, "Friday", 6, "Saturday", 7, "Sunday"),0)</f>
        <v>Saturday</v>
      </c>
      <c r="D17" s="30">
        <f t="shared" si="0"/>
        <v>7</v>
      </c>
      <c r="E17" s="72">
        <f t="shared" si="2"/>
        <v>45787</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73" t="str">
        <f t="shared" si="4"/>
        <v>0</v>
      </c>
      <c r="N17" s="25" t="str">
        <f t="shared" si="5"/>
        <v>0:</v>
      </c>
      <c r="O17" s="56" t="str">
        <f t="shared" si="6"/>
        <v>0</v>
      </c>
      <c r="P17" s="57">
        <f t="shared" si="10"/>
        <v>0</v>
      </c>
      <c r="Q17" s="31">
        <f t="shared" si="11"/>
        <v>0</v>
      </c>
      <c r="R17" s="100"/>
      <c r="S17" s="100"/>
      <c r="T17" s="30" t="s">
        <v>19</v>
      </c>
      <c r="U17" s="30" t="s">
        <v>38</v>
      </c>
      <c r="V17" s="30" t="s">
        <v>39</v>
      </c>
      <c r="W17" s="31" t="e">
        <f>W15-W16</f>
        <v>#REF!</v>
      </c>
      <c r="X17" s="30"/>
      <c r="Y17" s="30"/>
      <c r="Z17" s="30"/>
      <c r="AA17" s="30"/>
      <c r="AB17" s="30"/>
      <c r="AC17" s="30"/>
      <c r="AD17" s="30"/>
      <c r="AE17" s="30"/>
      <c r="AF17" s="30"/>
      <c r="AG17" s="30"/>
      <c r="AH17" s="30"/>
      <c r="AI17" s="30"/>
      <c r="AJ17" s="30"/>
      <c r="AK17" s="30"/>
      <c r="AL17" s="30"/>
      <c r="AM17" s="30"/>
      <c r="AN17" s="30"/>
      <c r="AO17" s="30"/>
      <c r="AP17" s="30"/>
      <c r="AQ17" s="30"/>
      <c r="AR17" s="30"/>
    </row>
    <row r="18" spans="1:44" ht="15.75" x14ac:dyDescent="0.25">
      <c r="A18" s="7">
        <f t="shared" si="1"/>
        <v>19</v>
      </c>
      <c r="B18" s="8">
        <f t="shared" si="9"/>
        <v>45788</v>
      </c>
      <c r="C18" s="9" t="str" cm="1">
        <f t="array" ref="C18">_xlfn.XLOOKUP(E18,Masterdata!$B$31:$B$44,Masterdata!$A$31:$A$44,_xlfn.SWITCH(WEEKDAY($D18, 2), 1, "Monday", 2, "Tuesday", 3, "Wednesday", 4, "Thursday", 5, "Friday", 6, "Saturday", 7, "Sunday"),0)</f>
        <v>Sunday</v>
      </c>
      <c r="D18" s="30">
        <f t="shared" si="0"/>
        <v>8</v>
      </c>
      <c r="E18" s="72">
        <f t="shared" si="2"/>
        <v>45788</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73" t="str">
        <f t="shared" si="4"/>
        <v>0</v>
      </c>
      <c r="N18" s="25" t="str">
        <f t="shared" si="5"/>
        <v>0:</v>
      </c>
      <c r="O18" s="56" t="str">
        <f t="shared" si="6"/>
        <v>0</v>
      </c>
      <c r="P18" s="57">
        <f t="shared" si="10"/>
        <v>0</v>
      </c>
      <c r="Q18" s="31">
        <f t="shared" si="11"/>
        <v>0</v>
      </c>
      <c r="R18" s="100"/>
      <c r="S18" s="100"/>
      <c r="T18" s="30"/>
      <c r="U18" s="30"/>
      <c r="V18" s="72"/>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15.75" x14ac:dyDescent="0.25">
      <c r="A19" s="7">
        <f t="shared" si="1"/>
        <v>20</v>
      </c>
      <c r="B19" s="8">
        <f t="shared" si="9"/>
        <v>45789</v>
      </c>
      <c r="C19" s="9" t="str" cm="1">
        <f t="array" ref="C19">_xlfn.XLOOKUP(E19,Masterdata!$B$31:$B$44,Masterdata!$A$31:$A$44,_xlfn.SWITCH(WEEKDAY($D19, 2), 1, "Monday", 2, "Tuesday", 3, "Wednesday", 4, "Thursday", 5, "Friday", 6, "Saturday", 7, "Sunday"),0)</f>
        <v>Monday</v>
      </c>
      <c r="D19" s="30">
        <f t="shared" si="0"/>
        <v>2</v>
      </c>
      <c r="E19" s="72">
        <f t="shared" si="2"/>
        <v>45789</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0.30833333333333335</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73" t="str">
        <f t="shared" si="4"/>
        <v>0</v>
      </c>
      <c r="N19" s="25" t="str">
        <f t="shared" si="5"/>
        <v>0:</v>
      </c>
      <c r="O19" s="56" t="str">
        <f t="shared" si="6"/>
        <v>0</v>
      </c>
      <c r="P19" s="57">
        <f t="shared" si="10"/>
        <v>0</v>
      </c>
      <c r="Q19" s="31">
        <f t="shared" si="11"/>
        <v>0</v>
      </c>
      <c r="R19" s="100"/>
      <c r="S19" s="10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75" x14ac:dyDescent="0.25">
      <c r="A20" s="7">
        <f t="shared" si="1"/>
        <v>20</v>
      </c>
      <c r="B20" s="8">
        <f t="shared" si="9"/>
        <v>45790</v>
      </c>
      <c r="C20" s="9" t="str" cm="1">
        <f t="array" ref="C20">_xlfn.XLOOKUP(E20,Masterdata!$B$31:$B$44,Masterdata!$A$31:$A$44,_xlfn.SWITCH(WEEKDAY($D20, 2), 1, "Monday", 2, "Tuesday", 3, "Wednesday", 4, "Thursday", 5, "Friday", 6, "Saturday", 7, "Sunday"),0)</f>
        <v>Tuesday</v>
      </c>
      <c r="D20" s="30">
        <f t="shared" si="0"/>
        <v>3</v>
      </c>
      <c r="E20" s="72">
        <f t="shared" si="2"/>
        <v>45790</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0.30833333333333335</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73" t="str">
        <f>LEFT(L20,1)</f>
        <v>0</v>
      </c>
      <c r="N20" s="25" t="str">
        <f t="shared" si="5"/>
        <v>0:</v>
      </c>
      <c r="O20" s="56" t="str">
        <f t="shared" si="6"/>
        <v>0</v>
      </c>
      <c r="P20" s="57">
        <f t="shared" si="10"/>
        <v>0</v>
      </c>
      <c r="Q20" s="31">
        <f>IF(M20="-",N20-P20,N20+P20)</f>
        <v>0</v>
      </c>
      <c r="R20" s="100"/>
      <c r="S20" s="10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15.75" x14ac:dyDescent="0.25">
      <c r="A21" s="7">
        <f t="shared" si="1"/>
        <v>20</v>
      </c>
      <c r="B21" s="8">
        <f t="shared" si="9"/>
        <v>45791</v>
      </c>
      <c r="C21" s="9" t="str" cm="1">
        <f t="array" ref="C21">_xlfn.XLOOKUP(E21,Masterdata!$B$31:$B$44,Masterdata!$A$31:$A$44,_xlfn.SWITCH(WEEKDAY($D21, 2), 1, "Monday", 2, "Tuesday", 3, "Wednesday", 4, "Thursday", 5, "Friday", 6, "Saturday", 7, "Sunday"),0)</f>
        <v>Wednesday</v>
      </c>
      <c r="D21" s="30">
        <f t="shared" si="0"/>
        <v>4</v>
      </c>
      <c r="E21" s="72">
        <f t="shared" si="2"/>
        <v>45791</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0.30833333333333335</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73" t="str">
        <f t="shared" ref="M21:M38" si="12">LEFT(L21,1)</f>
        <v>0</v>
      </c>
      <c r="N21" s="25" t="str">
        <f t="shared" si="5"/>
        <v>0:</v>
      </c>
      <c r="O21" s="56" t="str">
        <f t="shared" si="6"/>
        <v>0</v>
      </c>
      <c r="P21" s="57">
        <f t="shared" si="10"/>
        <v>0</v>
      </c>
      <c r="Q21" s="31">
        <f t="shared" ref="Q21:Q38" si="13">IF(M21="-",N21-P21,N21+P21)</f>
        <v>0</v>
      </c>
      <c r="R21" s="100"/>
      <c r="S21" s="10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ht="15.75" x14ac:dyDescent="0.25">
      <c r="A22" s="7">
        <f t="shared" si="1"/>
        <v>20</v>
      </c>
      <c r="B22" s="8">
        <f t="shared" si="9"/>
        <v>45792</v>
      </c>
      <c r="C22" s="9" t="str" cm="1">
        <f t="array" ref="C22">_xlfn.XLOOKUP(E22,Masterdata!$B$31:$B$44,Masterdata!$A$31:$A$44,_xlfn.SWITCH(WEEKDAY($D22, 2), 1, "Monday", 2, "Tuesday", 3, "Wednesday", 4, "Thursday", 5, "Friday", 6, "Saturday", 7, "Sunday"),0)</f>
        <v>Thursday</v>
      </c>
      <c r="D22" s="30">
        <f t="shared" si="0"/>
        <v>5</v>
      </c>
      <c r="E22" s="72">
        <f t="shared" si="2"/>
        <v>45792</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0.30833333333333335</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73" t="str">
        <f t="shared" si="12"/>
        <v>0</v>
      </c>
      <c r="N22" s="25" t="str">
        <f t="shared" si="5"/>
        <v>0:</v>
      </c>
      <c r="O22" s="56" t="str">
        <f t="shared" si="6"/>
        <v>0</v>
      </c>
      <c r="P22" s="57">
        <f t="shared" si="10"/>
        <v>0</v>
      </c>
      <c r="Q22" s="31">
        <f t="shared" si="13"/>
        <v>0</v>
      </c>
      <c r="R22" s="100"/>
      <c r="S22" s="10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5.75" x14ac:dyDescent="0.25">
      <c r="A23" s="7">
        <f t="shared" si="1"/>
        <v>20</v>
      </c>
      <c r="B23" s="8">
        <f t="shared" si="9"/>
        <v>45793</v>
      </c>
      <c r="C23" s="9" t="str" cm="1">
        <f t="array" ref="C23">_xlfn.XLOOKUP(E23,Masterdata!$B$31:$B$44,Masterdata!$A$31:$A$44,_xlfn.SWITCH(WEEKDAY($D23, 2), 1, "Monday", 2, "Tuesday", 3, "Wednesday", 4, "Thursday", 5, "Friday", 6, "Saturday", 7, "Sunday"),0)</f>
        <v>Friday</v>
      </c>
      <c r="D23" s="30">
        <f t="shared" si="0"/>
        <v>6</v>
      </c>
      <c r="E23" s="72">
        <f t="shared" si="2"/>
        <v>45793</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0.30833333333333335</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73" t="str">
        <f t="shared" si="12"/>
        <v>0</v>
      </c>
      <c r="N23" s="25" t="str">
        <f t="shared" si="5"/>
        <v>0:</v>
      </c>
      <c r="O23" s="56" t="str">
        <f t="shared" si="6"/>
        <v>0</v>
      </c>
      <c r="P23" s="57">
        <f t="shared" si="10"/>
        <v>0</v>
      </c>
      <c r="Q23" s="31">
        <f t="shared" si="13"/>
        <v>0</v>
      </c>
      <c r="R23" s="100"/>
      <c r="S23" s="10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15.75" x14ac:dyDescent="0.25">
      <c r="A24" s="7">
        <f t="shared" si="1"/>
        <v>20</v>
      </c>
      <c r="B24" s="8">
        <f t="shared" si="9"/>
        <v>45794</v>
      </c>
      <c r="C24" s="9" t="str" cm="1">
        <f t="array" ref="C24">_xlfn.XLOOKUP(E24,Masterdata!$B$31:$B$44,Masterdata!$A$31:$A$44,_xlfn.SWITCH(WEEKDAY($D24, 2), 1, "Monday", 2, "Tuesday", 3, "Wednesday", 4, "Thursday", 5, "Friday", 6, "Saturday", 7, "Sunday"),0)</f>
        <v>Saturday</v>
      </c>
      <c r="D24" s="30">
        <f t="shared" si="0"/>
        <v>7</v>
      </c>
      <c r="E24" s="72">
        <f t="shared" si="2"/>
        <v>45794</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73" t="str">
        <f t="shared" si="12"/>
        <v>0</v>
      </c>
      <c r="N24" s="25" t="str">
        <f t="shared" si="5"/>
        <v>0:</v>
      </c>
      <c r="O24" s="56" t="str">
        <f t="shared" si="6"/>
        <v>0</v>
      </c>
      <c r="P24" s="57">
        <f t="shared" si="10"/>
        <v>0</v>
      </c>
      <c r="Q24" s="31">
        <f t="shared" si="13"/>
        <v>0</v>
      </c>
      <c r="R24" s="100"/>
      <c r="S24" s="10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5.75" x14ac:dyDescent="0.25">
      <c r="A25" s="7">
        <f t="shared" si="1"/>
        <v>20</v>
      </c>
      <c r="B25" s="8">
        <f t="shared" si="9"/>
        <v>45795</v>
      </c>
      <c r="C25" s="9" t="str" cm="1">
        <f t="array" ref="C25">_xlfn.XLOOKUP(E25,Masterdata!$B$31:$B$44,Masterdata!$A$31:$A$44,_xlfn.SWITCH(WEEKDAY($D25, 2), 1, "Monday", 2, "Tuesday", 3, "Wednesday", 4, "Thursday", 5, "Friday", 6, "Saturday", 7, "Sunday"),0)</f>
        <v>Sunday</v>
      </c>
      <c r="D25" s="30">
        <f t="shared" si="0"/>
        <v>8</v>
      </c>
      <c r="E25" s="72">
        <f t="shared" si="2"/>
        <v>45795</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73" t="str">
        <f t="shared" si="12"/>
        <v>0</v>
      </c>
      <c r="N25" s="25" t="str">
        <f t="shared" si="5"/>
        <v>0:</v>
      </c>
      <c r="O25" s="56" t="str">
        <f t="shared" si="6"/>
        <v>0</v>
      </c>
      <c r="P25" s="57">
        <f t="shared" si="10"/>
        <v>0</v>
      </c>
      <c r="Q25" s="31">
        <f t="shared" si="13"/>
        <v>0</v>
      </c>
      <c r="R25" s="100"/>
      <c r="S25" s="10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ht="15.75" x14ac:dyDescent="0.25">
      <c r="A26" s="7">
        <f t="shared" si="1"/>
        <v>21</v>
      </c>
      <c r="B26" s="8">
        <f t="shared" si="9"/>
        <v>45796</v>
      </c>
      <c r="C26" s="9" t="str" cm="1">
        <f t="array" ref="C26">_xlfn.XLOOKUP(E26,Masterdata!$B$31:$B$44,Masterdata!$A$31:$A$44,_xlfn.SWITCH(WEEKDAY($D26, 2), 1, "Monday", 2, "Tuesday", 3, "Wednesday", 4, "Thursday", 5, "Friday", 6, "Saturday", 7, "Sunday"),0)</f>
        <v>Monday</v>
      </c>
      <c r="D26" s="30">
        <f t="shared" si="0"/>
        <v>2</v>
      </c>
      <c r="E26" s="72">
        <f t="shared" si="2"/>
        <v>45796</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0.30833333333333335</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73" t="str">
        <f t="shared" si="12"/>
        <v>0</v>
      </c>
      <c r="N26" s="25" t="str">
        <f t="shared" si="5"/>
        <v>0:</v>
      </c>
      <c r="O26" s="56" t="str">
        <f t="shared" si="6"/>
        <v>0</v>
      </c>
      <c r="P26" s="57">
        <f t="shared" si="10"/>
        <v>0</v>
      </c>
      <c r="Q26" s="31">
        <f t="shared" si="13"/>
        <v>0</v>
      </c>
      <c r="R26" s="100"/>
      <c r="S26" s="10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5.75" x14ac:dyDescent="0.25">
      <c r="A27" s="7">
        <f t="shared" si="1"/>
        <v>21</v>
      </c>
      <c r="B27" s="8">
        <f t="shared" si="9"/>
        <v>45797</v>
      </c>
      <c r="C27" s="9" t="str" cm="1">
        <f t="array" ref="C27">_xlfn.XLOOKUP(E27,Masterdata!$B$31:$B$44,Masterdata!$A$31:$A$44,_xlfn.SWITCH(WEEKDAY($D27, 2), 1, "Monday", 2, "Tuesday", 3, "Wednesday", 4, "Thursday", 5, "Friday", 6, "Saturday", 7, "Sunday"),0)</f>
        <v>Tuesday</v>
      </c>
      <c r="D27" s="30">
        <f t="shared" si="0"/>
        <v>3</v>
      </c>
      <c r="E27" s="72">
        <f t="shared" si="2"/>
        <v>45797</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0.30833333333333335</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73" t="str">
        <f t="shared" si="12"/>
        <v>0</v>
      </c>
      <c r="N27" s="25" t="str">
        <f t="shared" si="5"/>
        <v>0:</v>
      </c>
      <c r="O27" s="56" t="str">
        <f t="shared" si="6"/>
        <v>0</v>
      </c>
      <c r="P27" s="57">
        <f t="shared" si="10"/>
        <v>0</v>
      </c>
      <c r="Q27" s="31">
        <f t="shared" si="13"/>
        <v>0</v>
      </c>
      <c r="R27" s="100"/>
      <c r="S27" s="10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ht="15.75" x14ac:dyDescent="0.25">
      <c r="A28" s="7">
        <f t="shared" si="1"/>
        <v>21</v>
      </c>
      <c r="B28" s="8">
        <f t="shared" si="9"/>
        <v>45798</v>
      </c>
      <c r="C28" s="9" t="str" cm="1">
        <f t="array" ref="C28">_xlfn.XLOOKUP(E28,Masterdata!$B$31:$B$44,Masterdata!$A$31:$A$44,_xlfn.SWITCH(WEEKDAY($D28, 2), 1, "Monday", 2, "Tuesday", 3, "Wednesday", 4, "Thursday", 5, "Friday", 6, "Saturday", 7, "Sunday"),0)</f>
        <v>Wednesday</v>
      </c>
      <c r="D28" s="30">
        <f t="shared" si="0"/>
        <v>4</v>
      </c>
      <c r="E28" s="72">
        <f t="shared" si="2"/>
        <v>45798</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0.30833333333333335</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73" t="str">
        <f t="shared" si="12"/>
        <v>0</v>
      </c>
      <c r="N28" s="25" t="str">
        <f t="shared" si="5"/>
        <v>0:</v>
      </c>
      <c r="O28" s="56" t="str">
        <f t="shared" si="6"/>
        <v>0</v>
      </c>
      <c r="P28" s="57">
        <f t="shared" si="10"/>
        <v>0</v>
      </c>
      <c r="Q28" s="31">
        <f t="shared" si="13"/>
        <v>0</v>
      </c>
      <c r="R28" s="100"/>
      <c r="S28" s="10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5.75" x14ac:dyDescent="0.25">
      <c r="A29" s="7">
        <f t="shared" si="1"/>
        <v>21</v>
      </c>
      <c r="B29" s="8">
        <f t="shared" si="9"/>
        <v>45799</v>
      </c>
      <c r="C29" s="9" t="str" cm="1">
        <f t="array" ref="C29">_xlfn.XLOOKUP(E29,Masterdata!$B$31:$B$44,Masterdata!$A$31:$A$44,_xlfn.SWITCH(WEEKDAY($D29, 2), 1, "Monday", 2, "Tuesday", 3, "Wednesday", 4, "Thursday", 5, "Friday", 6, "Saturday", 7, "Sunday"),0)</f>
        <v>Thursday</v>
      </c>
      <c r="D29" s="30">
        <f t="shared" si="0"/>
        <v>5</v>
      </c>
      <c r="E29" s="72">
        <f t="shared" si="2"/>
        <v>45799</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0.30833333333333335</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73" t="str">
        <f t="shared" si="12"/>
        <v>0</v>
      </c>
      <c r="N29" s="25" t="str">
        <f t="shared" si="5"/>
        <v>0:</v>
      </c>
      <c r="O29" s="56" t="str">
        <f t="shared" si="6"/>
        <v>0</v>
      </c>
      <c r="P29" s="57">
        <f t="shared" si="10"/>
        <v>0</v>
      </c>
      <c r="Q29" s="31">
        <f t="shared" si="13"/>
        <v>0</v>
      </c>
      <c r="R29" s="100"/>
      <c r="S29" s="10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ht="15.75" x14ac:dyDescent="0.25">
      <c r="A30" s="7">
        <f t="shared" si="1"/>
        <v>21</v>
      </c>
      <c r="B30" s="8">
        <f t="shared" si="9"/>
        <v>45800</v>
      </c>
      <c r="C30" s="9" t="str" cm="1">
        <f t="array" ref="C30">_xlfn.XLOOKUP(E30,Masterdata!$B$31:$B$44,Masterdata!$A$31:$A$44,_xlfn.SWITCH(WEEKDAY($D30, 2), 1, "Monday", 2, "Tuesday", 3, "Wednesday", 4, "Thursday", 5, "Friday", 6, "Saturday", 7, "Sunday"),0)</f>
        <v>Friday</v>
      </c>
      <c r="D30" s="30">
        <f t="shared" si="0"/>
        <v>6</v>
      </c>
      <c r="E30" s="72">
        <f t="shared" si="2"/>
        <v>45800</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0.30833333333333335</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73" t="str">
        <f t="shared" si="12"/>
        <v>0</v>
      </c>
      <c r="N30" s="25" t="str">
        <f t="shared" si="5"/>
        <v>0:</v>
      </c>
      <c r="O30" s="56" t="str">
        <f t="shared" si="6"/>
        <v>0</v>
      </c>
      <c r="P30" s="57">
        <f t="shared" si="10"/>
        <v>0</v>
      </c>
      <c r="Q30" s="31">
        <f t="shared" si="13"/>
        <v>0</v>
      </c>
      <c r="R30" s="100"/>
      <c r="S30" s="10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5.75" x14ac:dyDescent="0.25">
      <c r="A31" s="7">
        <f t="shared" si="1"/>
        <v>21</v>
      </c>
      <c r="B31" s="8">
        <f t="shared" si="9"/>
        <v>45801</v>
      </c>
      <c r="C31" s="9" t="str" cm="1">
        <f t="array" ref="C31">_xlfn.XLOOKUP(E31,Masterdata!$B$31:$B$44,Masterdata!$A$31:$A$44,_xlfn.SWITCH(WEEKDAY($D31, 2), 1, "Monday", 2, "Tuesday", 3, "Wednesday", 4, "Thursday", 5, "Friday", 6, "Saturday", 7, "Sunday"),0)</f>
        <v>Saturday</v>
      </c>
      <c r="D31" s="30">
        <f t="shared" si="0"/>
        <v>7</v>
      </c>
      <c r="E31" s="72">
        <f t="shared" si="2"/>
        <v>45801</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73" t="str">
        <f t="shared" si="12"/>
        <v>0</v>
      </c>
      <c r="N31" s="25" t="str">
        <f t="shared" si="5"/>
        <v>0:</v>
      </c>
      <c r="O31" s="56" t="str">
        <f t="shared" si="6"/>
        <v>0</v>
      </c>
      <c r="P31" s="57">
        <f t="shared" si="10"/>
        <v>0</v>
      </c>
      <c r="Q31" s="31">
        <f t="shared" si="13"/>
        <v>0</v>
      </c>
      <c r="R31" s="100"/>
      <c r="S31" s="10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15.75" x14ac:dyDescent="0.25">
      <c r="A32" s="7">
        <f t="shared" si="1"/>
        <v>21</v>
      </c>
      <c r="B32" s="8">
        <f t="shared" si="9"/>
        <v>45802</v>
      </c>
      <c r="C32" s="9" t="str" cm="1">
        <f t="array" ref="C32">_xlfn.XLOOKUP(E32,Masterdata!$B$31:$B$44,Masterdata!$A$31:$A$44,_xlfn.SWITCH(WEEKDAY($D32, 2), 1, "Monday", 2, "Tuesday", 3, "Wednesday", 4, "Thursday", 5, "Friday", 6, "Saturday", 7, "Sunday"),0)</f>
        <v>Sunday</v>
      </c>
      <c r="D32" s="30">
        <f t="shared" si="0"/>
        <v>8</v>
      </c>
      <c r="E32" s="72">
        <f t="shared" si="2"/>
        <v>45802</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73" t="str">
        <f t="shared" si="12"/>
        <v>0</v>
      </c>
      <c r="N32" s="25" t="str">
        <f t="shared" si="5"/>
        <v>0:</v>
      </c>
      <c r="O32" s="56" t="str">
        <f t="shared" si="6"/>
        <v>0</v>
      </c>
      <c r="P32" s="57">
        <f t="shared" si="10"/>
        <v>0</v>
      </c>
      <c r="Q32" s="31">
        <f t="shared" si="13"/>
        <v>0</v>
      </c>
      <c r="R32" s="100"/>
      <c r="S32" s="10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5.75" x14ac:dyDescent="0.25">
      <c r="A33" s="7">
        <f t="shared" si="1"/>
        <v>22</v>
      </c>
      <c r="B33" s="8">
        <f t="shared" si="9"/>
        <v>45803</v>
      </c>
      <c r="C33" s="9" t="str" cm="1">
        <f t="array" ref="C33">_xlfn.XLOOKUP(E33,Masterdata!$B$31:$B$44,Masterdata!$A$31:$A$44,_xlfn.SWITCH(WEEKDAY($D33, 2), 1, "Monday", 2, "Tuesday", 3, "Wednesday", 4, "Thursday", 5, "Friday", 6, "Saturday", 7, "Sunday"),0)</f>
        <v>Monday</v>
      </c>
      <c r="D33" s="30">
        <f t="shared" si="0"/>
        <v>2</v>
      </c>
      <c r="E33" s="72">
        <f t="shared" si="2"/>
        <v>45803</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0.30833333333333335</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73" t="str">
        <f t="shared" si="12"/>
        <v>0</v>
      </c>
      <c r="N33" s="25" t="str">
        <f t="shared" si="5"/>
        <v>0:</v>
      </c>
      <c r="O33" s="56" t="str">
        <f t="shared" si="6"/>
        <v>0</v>
      </c>
      <c r="P33" s="57">
        <f t="shared" si="10"/>
        <v>0</v>
      </c>
      <c r="Q33" s="31">
        <f t="shared" si="13"/>
        <v>0</v>
      </c>
      <c r="R33" s="100"/>
      <c r="S33" s="10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15.75" x14ac:dyDescent="0.25">
      <c r="A34" s="7">
        <f t="shared" si="1"/>
        <v>22</v>
      </c>
      <c r="B34" s="8">
        <f t="shared" si="9"/>
        <v>45804</v>
      </c>
      <c r="C34" s="9" t="str" cm="1">
        <f t="array" ref="C34">_xlfn.XLOOKUP(E34,Masterdata!$B$31:$B$44,Masterdata!$A$31:$A$44,_xlfn.SWITCH(WEEKDAY($D34, 2), 1, "Monday", 2, "Tuesday", 3, "Wednesday", 4, "Thursday", 5, "Friday", 6, "Saturday", 7, "Sunday"),0)</f>
        <v>Tuesday</v>
      </c>
      <c r="D34" s="30">
        <f t="shared" si="0"/>
        <v>3</v>
      </c>
      <c r="E34" s="72">
        <f t="shared" si="2"/>
        <v>45804</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0.30833333333333335</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73" t="str">
        <f t="shared" si="12"/>
        <v>0</v>
      </c>
      <c r="N34" s="25" t="str">
        <f t="shared" si="5"/>
        <v>0:</v>
      </c>
      <c r="O34" s="56" t="str">
        <f t="shared" si="6"/>
        <v>0</v>
      </c>
      <c r="P34" s="57">
        <f t="shared" si="10"/>
        <v>0</v>
      </c>
      <c r="Q34" s="31">
        <f t="shared" si="13"/>
        <v>0</v>
      </c>
      <c r="R34" s="100"/>
      <c r="S34" s="10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5.75" x14ac:dyDescent="0.25">
      <c r="A35" s="7">
        <f t="shared" si="1"/>
        <v>22</v>
      </c>
      <c r="B35" s="8">
        <f t="shared" si="9"/>
        <v>45805</v>
      </c>
      <c r="C35" s="9" t="str" cm="1">
        <f t="array" ref="C35">_xlfn.XLOOKUP(E35,Masterdata!$B$31:$B$44,Masterdata!$A$31:$A$44,_xlfn.SWITCH(WEEKDAY($D35, 2), 1, "Monday", 2, "Tuesday", 3, "Wednesday", 4, "Thursday", 5, "Friday", 6, "Saturday", 7, "Sunday"),0)</f>
        <v>Wednesday</v>
      </c>
      <c r="D35" s="30">
        <f t="shared" si="0"/>
        <v>4</v>
      </c>
      <c r="E35" s="72">
        <f t="shared" si="2"/>
        <v>45805</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0.30833333333333335</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73" t="str">
        <f t="shared" si="12"/>
        <v>0</v>
      </c>
      <c r="N35" s="25" t="str">
        <f t="shared" si="5"/>
        <v>0:</v>
      </c>
      <c r="O35" s="56" t="str">
        <f t="shared" si="6"/>
        <v>0</v>
      </c>
      <c r="P35" s="57">
        <f t="shared" si="10"/>
        <v>0</v>
      </c>
      <c r="Q35" s="31">
        <f t="shared" si="13"/>
        <v>0</v>
      </c>
      <c r="R35" s="100"/>
      <c r="S35" s="10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15.75" x14ac:dyDescent="0.25">
      <c r="A36" s="7">
        <f t="shared" si="1"/>
        <v>22</v>
      </c>
      <c r="B36" s="8">
        <f t="shared" si="9"/>
        <v>45806</v>
      </c>
      <c r="C36" s="9" t="str" cm="1">
        <f t="array" ref="C36">_xlfn.XLOOKUP(E36,Masterdata!$B$31:$B$44,Masterdata!$A$31:$A$44,_xlfn.SWITCH(WEEKDAY($D36, 2), 1, "Monday", 2, "Tuesday", 3, "Wednesday", 4, "Thursday", 5, "Friday", 6, "Saturday", 7, "Sunday"),0)</f>
        <v>Ascension Day</v>
      </c>
      <c r="D36" s="30">
        <f t="shared" si="0"/>
        <v>5</v>
      </c>
      <c r="E36" s="72">
        <f t="shared" si="2"/>
        <v>45806</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73" t="str">
        <f t="shared" si="12"/>
        <v>0</v>
      </c>
      <c r="N36" s="25" t="str">
        <f t="shared" si="5"/>
        <v>0:</v>
      </c>
      <c r="O36" s="56" t="str">
        <f t="shared" si="6"/>
        <v>0</v>
      </c>
      <c r="P36" s="57">
        <f t="shared" si="10"/>
        <v>0</v>
      </c>
      <c r="Q36" s="31">
        <f t="shared" si="13"/>
        <v>0</v>
      </c>
      <c r="R36" s="100"/>
      <c r="S36" s="10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ht="15.75" x14ac:dyDescent="0.25">
      <c r="A37" s="7">
        <f t="shared" si="1"/>
        <v>22</v>
      </c>
      <c r="B37" s="8">
        <f t="shared" si="9"/>
        <v>45807</v>
      </c>
      <c r="C37" s="9" t="str" cm="1">
        <f t="array" ref="C37">_xlfn.XLOOKUP(E37,Masterdata!$B$31:$B$44,Masterdata!$A$31:$A$44,_xlfn.SWITCH(WEEKDAY($D37, 2), 1, "Monday", 2, "Tuesday", 3, "Wednesday", 4, "Thursday", 5, "Friday", 6, "Saturday", 7, "Sunday"),0)</f>
        <v>Friday</v>
      </c>
      <c r="D37" s="30">
        <f t="shared" si="0"/>
        <v>6</v>
      </c>
      <c r="E37" s="72">
        <f t="shared" si="2"/>
        <v>45807</v>
      </c>
      <c r="F37" s="10" t="s">
        <v>18</v>
      </c>
      <c r="G37" s="12">
        <f>IF(AND(F37="N",NOT(OR($C37="Monday", $C37="Tuesday",$C37="Wednesday",$C37="Thursday",$C37="Friday"))),0,IFERROR(
    IF($F37="N", $W$9,
        IF(OR(
            AND(Masterdata!$B$4&lt;&gt;DATE(1900,1,0), Masterdata!$B$4&lt;$E37),
            AND(Masterdata!$B$3&lt;&gt;DATE(1900,1,0), Masterdata!$B$3&gt;$E37)
        ),
        IF($H37&gt;=TIME(0,0,0), "Type in next cell", 0),
        IF($H37&gt;=TIME(0,0,0), "Type in next cell",
            IF($H37&gt;=0, 0,
                IF(NOT(OR($C37="Monday", $C37="Tuesday",$C37="Wednesday",$C37="Thursday",$C37="Friday")), 0, 0)
            )
        )
    )),
"Type in next cell"))</f>
        <v>0.30833333333333335</v>
      </c>
      <c r="H37" s="11">
        <v>0</v>
      </c>
      <c r="I37" s="11">
        <v>0</v>
      </c>
      <c r="J37" s="11">
        <v>0</v>
      </c>
      <c r="K37" s="27" t="str">
        <f t="shared" si="3"/>
        <v>00:00</v>
      </c>
      <c r="L37" s="27" t="str">
        <f>IF(F37="N","0:00",IF(
OR(
AND(Masterdata!$B$4&lt;&gt;DATE(1900,1,0),Masterdata!$B$4&lt;$E37),
AND(Masterdata!$B$3&lt;&gt;DATE(1900,1,0),Masterdata!$B$3&gt;$E37)
),
"0:00",
IF(
$H37&gt;TIME(0,0,0),
IF(
NOT(OR($C37="Monday", $C37="Tuesday",$C37="Wednesday",$C37="Thursday",$C37="Friday")),
TEXT($H37,"[tt]:mm"),
IF($H37-$W$9&gt;=0,TEXT($H37-$W$9,"[tt]:mm"),"-"&amp;TEXT(ABS($H37-$W$9),"[tt]:mm"))
),
IF(
NOT(OR($C37="Monday", $C37="Tuesday",$C37="Wednesday",$C37="Thursday",$C37="Friday")),
IF($J37-$I37&gt;=0,TEXT($J37-$I37,"[tt]:mm"),"-"&amp;TEXT(ABS($J37-$I37),"[tt]:mm")),
IFERROR(
IF($G37-$W$9=0,
IF($G37-$W$9&gt;=0,TEXT($G37-$W$9,"[tt]:mm"),"-"&amp;TEXT(ABS($G37-$W$9),"[tt]:mm")),
IF($J37-$I37&gt;=0,TEXT($J37-$I37,"[tt]:mm"),"-"&amp;TEXT(ABS($J37-$I37),"[tt]:mm"))
),
IF(
$J37-$I37-$W$9&gt;=0,
TEXT($J37-$I37-$W$9,"[tt]:mm"),
"-"&amp;TEXT(ABS($J37-$I37-$W$9),"[tt]:mm")
)
)
)
)
))</f>
        <v>0:00</v>
      </c>
      <c r="M37" s="73" t="str">
        <f t="shared" si="12"/>
        <v>0</v>
      </c>
      <c r="N37" s="25" t="str">
        <f t="shared" si="5"/>
        <v>0:</v>
      </c>
      <c r="O37" s="56" t="str">
        <f t="shared" si="6"/>
        <v>0</v>
      </c>
      <c r="P37" s="57">
        <f t="shared" si="10"/>
        <v>0</v>
      </c>
      <c r="Q37" s="31">
        <f t="shared" si="13"/>
        <v>0</v>
      </c>
      <c r="R37" s="100"/>
      <c r="S37" s="10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15.75" x14ac:dyDescent="0.25">
      <c r="A38" s="7">
        <f t="shared" si="1"/>
        <v>22</v>
      </c>
      <c r="B38" s="8">
        <f t="shared" si="9"/>
        <v>45808</v>
      </c>
      <c r="C38" s="9" t="str" cm="1">
        <f t="array" ref="C38">_xlfn.XLOOKUP(E38,Masterdata!$B$31:$B$44,Masterdata!$A$31:$A$44,_xlfn.SWITCH(WEEKDAY($D38, 2), 1, "Monday", 2, "Tuesday", 3, "Wednesday", 4, "Thursday", 5, "Friday", 6, "Saturday", 7, "Sunday"),0)</f>
        <v>Saturday</v>
      </c>
      <c r="D38" s="30">
        <f t="shared" si="0"/>
        <v>7</v>
      </c>
      <c r="E38" s="72">
        <f t="shared" si="2"/>
        <v>45808</v>
      </c>
      <c r="F38" s="10" t="s">
        <v>18</v>
      </c>
      <c r="G38" s="12">
        <f>IF(AND(F38="N",NOT(OR($C38="Monday", $C38="Tuesday",$C38="Wednesday",$C38="Thursday",$C38="Friday"))),0,IFERROR(
    IF($F38="N", $W$9,
        IF(OR(
            AND(Masterdata!$B$4&lt;&gt;DATE(1900,1,0), Masterdata!$B$4&lt;$E38),
            AND(Masterdata!$B$3&lt;&gt;DATE(1900,1,0), Masterdata!$B$3&gt;$E38)
        ),
        IF($H38&gt;=TIME(0,0,0), "Type in next cell", 0),
        IF($H38&gt;=TIME(0,0,0), "Type in next cell",
            IF($H38&gt;=0, 0,
                IF(NOT(OR($C38="Monday", $C38="Tuesday",$C38="Wednesday",$C38="Thursday",$C38="Friday")), 0, 0)
            )
        )
    )),
"Type in next cell"))</f>
        <v>0</v>
      </c>
      <c r="H38" s="11">
        <v>0</v>
      </c>
      <c r="I38" s="11">
        <v>0</v>
      </c>
      <c r="J38" s="11">
        <v>0</v>
      </c>
      <c r="K38" s="27" t="str">
        <f t="shared" si="3"/>
        <v>00:00</v>
      </c>
      <c r="L38" s="27" t="str">
        <f>IF(F38="N","0:00",IF(
OR(
AND(Masterdata!$B$4&lt;&gt;DATE(1900,1,0),Masterdata!$B$4&lt;$E38),
AND(Masterdata!$B$3&lt;&gt;DATE(1900,1,0),Masterdata!$B$3&gt;$E38)
),
"0:00",
IF(
$H38&gt;TIME(0,0,0),
IF(
NOT(OR($C38="Monday", $C38="Tuesday",$C38="Wednesday",$C38="Thursday",$C38="Friday")),
TEXT($H38,"[tt]:mm"),
IF($H38-$W$9&gt;=0,TEXT($H38-$W$9,"[tt]:mm"),"-"&amp;TEXT(ABS($H38-$W$9),"[tt]:mm"))
),
IF(
NOT(OR($C38="Monday", $C38="Tuesday",$C38="Wednesday",$C38="Thursday",$C38="Friday")),
IF($J38-$I38&gt;=0,TEXT($J38-$I38,"[tt]:mm"),"-"&amp;TEXT(ABS($J38-$I38),"[tt]:mm")),
IFERROR(
IF($G38-$W$9=0,
IF($G38-$W$9&gt;=0,TEXT($G38-$W$9,"[tt]:mm"),"-"&amp;TEXT(ABS($G38-$W$9),"[tt]:mm")),
IF($J38-$I38&gt;=0,TEXT($J38-$I38,"[tt]:mm"),"-"&amp;TEXT(ABS($J38-$I38),"[tt]:mm"))
),
IF(
$J38-$I38-$W$9&gt;=0,
TEXT($J38-$I38-$W$9,"[tt]:mm"),
"-"&amp;TEXT(ABS($J38-$I38-$W$9),"[tt]:mm")
)
)
)
)
))</f>
        <v>0:00</v>
      </c>
      <c r="M38" s="73" t="str">
        <f t="shared" si="12"/>
        <v>0</v>
      </c>
      <c r="N38" s="25" t="str">
        <f t="shared" si="5"/>
        <v>0:</v>
      </c>
      <c r="O38" s="56" t="str">
        <f t="shared" si="6"/>
        <v>0</v>
      </c>
      <c r="P38" s="57">
        <f t="shared" si="10"/>
        <v>0</v>
      </c>
      <c r="Q38" s="31">
        <f t="shared" si="13"/>
        <v>0</v>
      </c>
      <c r="R38" s="100"/>
      <c r="S38" s="10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5.75" x14ac:dyDescent="0.25">
      <c r="A39" s="30"/>
      <c r="B39" s="30"/>
      <c r="C39" s="30"/>
      <c r="D39" s="30"/>
      <c r="E39" s="30"/>
      <c r="F39" s="30"/>
      <c r="G39" s="30"/>
      <c r="H39" s="30"/>
      <c r="I39" s="30"/>
      <c r="J39" s="30"/>
      <c r="K39" s="30"/>
      <c r="L39" s="75"/>
      <c r="M39" s="30"/>
      <c r="N39" s="30"/>
      <c r="O39" s="30"/>
      <c r="P39" s="30"/>
      <c r="Q39" s="31">
        <f>SUM(Q8:Q38)</f>
        <v>0</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15.7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5.7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15.7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ht="15.7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ht="15.7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ht="15.7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ht="15.7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row>
    <row r="50" spans="1:44" ht="15.7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ht="15.7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7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1:44" ht="15.7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44" ht="15.7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ht="15.7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44" ht="15.7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ht="15.7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ht="15.7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ht="15.7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ht="15.7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ht="15.7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ht="15.7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15.7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row>
    <row r="64" spans="1:44" ht="15.7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row>
    <row r="65" spans="1:44" ht="15.7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15.7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5.7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row>
    <row r="68" spans="1:44" ht="15.7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ht="15.7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row>
    <row r="70" spans="1:44" ht="15.7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ht="15.7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15.7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ht="15.7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ht="15.7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ht="15.7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row>
    <row r="76" spans="1:44" ht="15.7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ht="15.75"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row>
  </sheetData>
  <sheetProtection algorithmName="SHA-512" hashValue="8Tufv3aYCepXOKqHj4oTp/S66VAXw1GawMnZLoMsZBC0dGbathjEI/aIAPLyvFK4OMtGjqT9utFP9lB+ii4+mA==" saltValue="AX0XcdTxK/z49YLV9Xs9SQ==" spinCount="100000" sheet="1" objects="1" scenarios="1"/>
  <mergeCells count="37">
    <mergeCell ref="R7:S7"/>
    <mergeCell ref="R1:S1"/>
    <mergeCell ref="R2:S2"/>
    <mergeCell ref="R3:S3"/>
    <mergeCell ref="R4:S4"/>
    <mergeCell ref="R5:S5"/>
    <mergeCell ref="R19:S19"/>
    <mergeCell ref="R8:S8"/>
    <mergeCell ref="R9:S9"/>
    <mergeCell ref="R10:S10"/>
    <mergeCell ref="R11:S11"/>
    <mergeCell ref="R12:S12"/>
    <mergeCell ref="R13:S13"/>
    <mergeCell ref="R14:S14"/>
    <mergeCell ref="R15:S15"/>
    <mergeCell ref="R16:S16"/>
    <mergeCell ref="R17:S17"/>
    <mergeCell ref="R18:S18"/>
    <mergeCell ref="R31:S31"/>
    <mergeCell ref="R20:S20"/>
    <mergeCell ref="R21:S21"/>
    <mergeCell ref="R22:S22"/>
    <mergeCell ref="R23:S23"/>
    <mergeCell ref="R24:S24"/>
    <mergeCell ref="R25:S25"/>
    <mergeCell ref="R26:S26"/>
    <mergeCell ref="R27:S27"/>
    <mergeCell ref="R28:S28"/>
    <mergeCell ref="R29:S29"/>
    <mergeCell ref="R30:S30"/>
    <mergeCell ref="R38:S38"/>
    <mergeCell ref="R32:S32"/>
    <mergeCell ref="R33:S33"/>
    <mergeCell ref="R34:S34"/>
    <mergeCell ref="R35:S35"/>
    <mergeCell ref="R36:S36"/>
    <mergeCell ref="R37:S37"/>
  </mergeCells>
  <conditionalFormatting sqref="A8:G38">
    <cfRule type="expression" dxfId="31" priority="2">
      <formula>NOT(OR($C8="Monday", $C8="Tuesday",$C8="Wednesday",$C8="Thursday",$C8="Friday"))</formula>
    </cfRule>
  </conditionalFormatting>
  <conditionalFormatting sqref="G8:G38">
    <cfRule type="expression" dxfId="30" priority="4">
      <formula>AND($F8="N", (OR($C8="Monday", $C8="Tuesday",$C8="Wednesday",$C8="Thursday",$C8="Friday")))</formula>
    </cfRule>
  </conditionalFormatting>
  <conditionalFormatting sqref="H8:J38">
    <cfRule type="expression" dxfId="29" priority="1">
      <formula>OR($F8="N")</formula>
    </cfRule>
    <cfRule type="expression" dxfId="28" priority="3">
      <formula>$F8="R"</formula>
    </cfRule>
  </conditionalFormatting>
  <dataValidations count="1">
    <dataValidation type="list" allowBlank="1" showInputMessage="1" showErrorMessage="1" sqref="F8:F38" xr:uid="{2ADEB1FA-5D54-40FF-9C36-BEE32EC63329}">
      <formula1>$L$3:$L$4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75EF-21B7-4643-BD69-1CC009D2F0A4}">
  <dimension ref="A1:AR77"/>
  <sheetViews>
    <sheetView zoomScale="70" zoomScaleNormal="70" workbookViewId="0">
      <selection activeCell="C1" sqref="C1"/>
    </sheetView>
  </sheetViews>
  <sheetFormatPr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6" width="7.5703125" hidden="1" customWidth="1" outlineLevel="1"/>
    <col min="17" max="17" width="2"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9.140625" collapsed="1"/>
  </cols>
  <sheetData>
    <row r="1" spans="1:44"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51"/>
      <c r="U1" s="51"/>
      <c r="V1" s="51"/>
      <c r="W1" s="30"/>
      <c r="X1" s="30"/>
      <c r="Y1" s="30"/>
      <c r="Z1" s="30"/>
      <c r="AA1" s="30"/>
      <c r="AB1" s="30"/>
      <c r="AC1" s="30"/>
      <c r="AD1" s="30"/>
      <c r="AE1" s="30"/>
      <c r="AF1" s="30"/>
      <c r="AG1" s="30"/>
      <c r="AH1" s="30"/>
      <c r="AI1" s="30"/>
      <c r="AJ1" s="30"/>
      <c r="AK1" s="30"/>
      <c r="AL1" s="30"/>
      <c r="AM1" s="30"/>
      <c r="AN1" s="30"/>
      <c r="AO1" s="30"/>
      <c r="AP1" s="30"/>
      <c r="AQ1" s="30"/>
      <c r="AR1" s="30"/>
    </row>
    <row r="2" spans="1:44" ht="16.5" x14ac:dyDescent="0.3">
      <c r="A2" s="44" t="s">
        <v>92</v>
      </c>
      <c r="B2" s="71" t="str">
        <f>Masterdata!$D$27</f>
        <v>00:00</v>
      </c>
      <c r="C2" s="30"/>
      <c r="D2" s="30"/>
      <c r="E2" s="30"/>
      <c r="F2" s="30"/>
      <c r="G2" s="30"/>
      <c r="H2" s="30"/>
      <c r="I2" s="30"/>
      <c r="J2" s="30"/>
      <c r="K2" s="30"/>
      <c r="L2" s="90"/>
      <c r="R2" s="106"/>
      <c r="S2" s="107"/>
      <c r="T2" s="51"/>
      <c r="U2" s="51"/>
      <c r="V2" s="51"/>
      <c r="W2" s="30"/>
      <c r="X2" s="30"/>
      <c r="Y2" s="30"/>
      <c r="Z2" s="30"/>
      <c r="AA2" s="30"/>
      <c r="AB2" s="30"/>
      <c r="AC2" s="30"/>
      <c r="AD2" s="30"/>
      <c r="AE2" s="30"/>
      <c r="AF2" s="30"/>
      <c r="AG2" s="30"/>
      <c r="AH2" s="30"/>
      <c r="AI2" s="30"/>
      <c r="AJ2" s="30"/>
      <c r="AK2" s="30"/>
      <c r="AL2" s="30"/>
      <c r="AM2" s="30"/>
      <c r="AN2" s="30"/>
      <c r="AO2" s="30"/>
      <c r="AP2" s="30"/>
      <c r="AQ2" s="30"/>
      <c r="AR2" s="30"/>
    </row>
    <row r="3" spans="1:44" ht="31.5" customHeight="1" x14ac:dyDescent="0.25">
      <c r="A3" s="47" t="s">
        <v>109</v>
      </c>
      <c r="B3" s="71" t="str">
        <f>IF(Q38&lt;0,"-"&amp;TEXT(ABS(Q38/24),"[tt]:mm"),TEXT(Q38/24,"[tt]:mm"))</f>
        <v>00:00</v>
      </c>
      <c r="C3" s="30"/>
      <c r="D3" s="30"/>
      <c r="E3" s="30"/>
      <c r="F3" s="30"/>
      <c r="G3" s="30"/>
      <c r="H3" s="30"/>
      <c r="I3" s="30"/>
      <c r="J3" s="30"/>
      <c r="K3" s="30"/>
      <c r="L3" s="91" t="s">
        <v>18</v>
      </c>
      <c r="R3" s="108" t="s">
        <v>130</v>
      </c>
      <c r="S3" s="109"/>
      <c r="T3" s="52"/>
      <c r="U3" s="52"/>
      <c r="V3" s="52"/>
      <c r="W3" s="30"/>
      <c r="X3" s="30"/>
      <c r="Y3" s="30"/>
      <c r="Z3" s="30"/>
      <c r="AA3" s="30"/>
      <c r="AB3" s="30"/>
      <c r="AC3" s="30"/>
      <c r="AD3" s="30"/>
      <c r="AE3" s="30"/>
      <c r="AF3" s="30"/>
      <c r="AG3" s="30"/>
      <c r="AH3" s="30"/>
      <c r="AI3" s="30"/>
      <c r="AJ3" s="30"/>
      <c r="AK3" s="30"/>
      <c r="AL3" s="30"/>
      <c r="AM3" s="30"/>
      <c r="AN3" s="30"/>
      <c r="AO3" s="30"/>
      <c r="AP3" s="30"/>
      <c r="AQ3" s="30"/>
      <c r="AR3" s="30"/>
    </row>
    <row r="4" spans="1:44" ht="54.95" customHeight="1" x14ac:dyDescent="0.25">
      <c r="A4" s="17" t="s">
        <v>110</v>
      </c>
      <c r="B4" s="48">
        <f>Masterdata!$B$5</f>
        <v>2025</v>
      </c>
      <c r="C4" s="30"/>
      <c r="D4" s="30"/>
      <c r="E4" s="30"/>
      <c r="F4" s="30"/>
      <c r="G4" s="30"/>
      <c r="H4" s="30"/>
      <c r="I4" s="30"/>
      <c r="J4" s="30"/>
      <c r="K4" s="30"/>
      <c r="L4" s="92" t="s">
        <v>19</v>
      </c>
      <c r="R4" s="110" t="s">
        <v>132</v>
      </c>
      <c r="S4" s="111"/>
      <c r="T4" s="53"/>
      <c r="U4" s="53"/>
      <c r="V4" s="53"/>
      <c r="W4" s="30"/>
      <c r="X4" s="30"/>
      <c r="Y4" s="30"/>
      <c r="Z4" s="30"/>
      <c r="AA4" s="30"/>
      <c r="AB4" s="30"/>
      <c r="AC4" s="30"/>
      <c r="AD4" s="30"/>
      <c r="AE4" s="30"/>
      <c r="AF4" s="30"/>
      <c r="AG4" s="30"/>
      <c r="AH4" s="30"/>
      <c r="AI4" s="30"/>
      <c r="AJ4" s="30"/>
      <c r="AK4" s="30"/>
      <c r="AL4" s="30"/>
      <c r="AM4" s="30"/>
      <c r="AN4" s="30"/>
      <c r="AO4" s="30"/>
      <c r="AP4" s="30"/>
      <c r="AQ4" s="30"/>
      <c r="AR4" s="30"/>
    </row>
    <row r="5" spans="1:44" ht="16.5" thickBot="1" x14ac:dyDescent="0.3">
      <c r="A5" s="13" t="s">
        <v>89</v>
      </c>
      <c r="B5" s="18" t="s">
        <v>127</v>
      </c>
      <c r="C5" s="30"/>
      <c r="D5" s="30"/>
      <c r="E5" s="30"/>
      <c r="F5" s="30"/>
      <c r="G5" s="30"/>
      <c r="H5" s="30"/>
      <c r="I5" s="30"/>
      <c r="J5" s="30"/>
      <c r="K5" s="30"/>
      <c r="L5" s="93" t="s">
        <v>118</v>
      </c>
      <c r="M5" s="94"/>
      <c r="N5" s="94"/>
      <c r="O5" s="94"/>
      <c r="P5" s="94"/>
      <c r="Q5" s="94"/>
      <c r="R5" s="112" t="s">
        <v>119</v>
      </c>
      <c r="S5" s="113"/>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6.5" thickBot="1"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Q7" s="30"/>
      <c r="R7" s="102" t="s">
        <v>121</v>
      </c>
      <c r="S7" s="103"/>
      <c r="T7" s="30"/>
      <c r="U7" s="30"/>
      <c r="V7" s="30" t="s">
        <v>27</v>
      </c>
      <c r="W7" s="30">
        <v>5</v>
      </c>
      <c r="X7" s="30"/>
      <c r="Y7" s="30"/>
      <c r="Z7" s="30"/>
      <c r="AA7" s="30"/>
      <c r="AB7" s="30"/>
      <c r="AC7" s="30"/>
      <c r="AD7" s="30"/>
      <c r="AE7" s="30"/>
      <c r="AF7" s="30"/>
      <c r="AG7" s="30"/>
      <c r="AH7" s="30"/>
      <c r="AI7" s="30"/>
      <c r="AJ7" s="30"/>
      <c r="AK7" s="30"/>
      <c r="AL7" s="30"/>
      <c r="AM7" s="30"/>
      <c r="AN7" s="30"/>
      <c r="AO7" s="30"/>
      <c r="AP7" s="30"/>
      <c r="AQ7" s="30"/>
      <c r="AR7" s="30"/>
    </row>
    <row r="8" spans="1:44" ht="15.75" x14ac:dyDescent="0.25">
      <c r="A8" s="7">
        <f>WEEKNUM($B8,21)</f>
        <v>22</v>
      </c>
      <c r="B8" s="8">
        <f>DATE(Masterdata!$B$5,6,1)</f>
        <v>45809</v>
      </c>
      <c r="C8" s="9" t="str" cm="1">
        <f t="array" ref="C8">_xlfn.XLOOKUP(E8,Masterdata!$B$31:$B$44,Masterdata!$A$31:$A$44,_xlfn.SWITCH(WEEKDAY($D8, 2), 1, "Monday", 2, "Tuesday", 3, "Wednesday", 4, "Thursday", 5, "Friday", 6, "Saturday", 7, "Sunday"),0)</f>
        <v>Sunday</v>
      </c>
      <c r="D8" s="30">
        <f t="shared" ref="D8:D37" si="0">WEEKDAY($B8, 2)+1</f>
        <v>8</v>
      </c>
      <c r="E8" s="72">
        <f>$B8</f>
        <v>45809</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73" t="str">
        <f>LEFT(L8,1)</f>
        <v>0</v>
      </c>
      <c r="N8" s="25" t="str">
        <f>IF($M8="-",LEFT($L8,3),LEFT($L8,2))</f>
        <v>0:</v>
      </c>
      <c r="O8" s="56" t="str">
        <f>IF($M8="-",MID($L8,5,2),MID($L8,4,2))</f>
        <v>0</v>
      </c>
      <c r="P8" s="57">
        <f>O8/60</f>
        <v>0</v>
      </c>
      <c r="Q8" s="31">
        <f>IF(M8="-",N8-P8,N8+P8)</f>
        <v>0</v>
      </c>
      <c r="R8" s="101"/>
      <c r="S8" s="101"/>
      <c r="T8" s="30"/>
      <c r="U8" s="30"/>
      <c r="V8" s="30" t="s">
        <v>28</v>
      </c>
      <c r="W8" s="74">
        <f>B1/W7</f>
        <v>7.4</v>
      </c>
      <c r="X8" s="30">
        <v>0</v>
      </c>
      <c r="Y8" s="75"/>
      <c r="Z8" s="30"/>
      <c r="AA8" s="30"/>
      <c r="AB8" s="30"/>
      <c r="AC8" s="30"/>
      <c r="AD8" s="30"/>
      <c r="AE8" s="30"/>
      <c r="AF8" s="30"/>
      <c r="AG8" s="30"/>
      <c r="AH8" s="30"/>
      <c r="AI8" s="30"/>
      <c r="AJ8" s="30"/>
      <c r="AK8" s="30"/>
      <c r="AL8" s="30"/>
      <c r="AM8" s="30"/>
      <c r="AN8" s="30"/>
      <c r="AO8" s="30"/>
      <c r="AP8" s="30"/>
      <c r="AQ8" s="30"/>
      <c r="AR8" s="30"/>
    </row>
    <row r="9" spans="1:44" ht="15.75" x14ac:dyDescent="0.25">
      <c r="A9" s="7">
        <f t="shared" ref="A9:A37" si="1">WEEKNUM($B9,21)</f>
        <v>23</v>
      </c>
      <c r="B9" s="8">
        <f>B8+1</f>
        <v>45810</v>
      </c>
      <c r="C9" s="9" t="str" cm="1">
        <f t="array" ref="C9">_xlfn.XLOOKUP(E9,Masterdata!$B$31:$B$44,Masterdata!$A$31:$A$44,_xlfn.SWITCH(WEEKDAY($D9, 2), 1, "Monday", 2, "Tuesday", 3, "Wednesday", 4, "Thursday", 5, "Friday", 6, "Saturday", 7, "Sunday"),0)</f>
        <v>Monday</v>
      </c>
      <c r="D9" s="30">
        <f t="shared" si="0"/>
        <v>2</v>
      </c>
      <c r="E9" s="72">
        <f t="shared" ref="E9:E37" si="2">$B9</f>
        <v>45810</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0.30833333333333335</v>
      </c>
      <c r="H9" s="11">
        <v>0</v>
      </c>
      <c r="I9" s="11">
        <v>0</v>
      </c>
      <c r="J9" s="11">
        <v>0</v>
      </c>
      <c r="K9" s="27" t="str">
        <f t="shared" ref="K9:K37"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73" t="str">
        <f t="shared" ref="M9:M19" si="4">LEFT(L9,1)</f>
        <v>0</v>
      </c>
      <c r="N9" s="25" t="str">
        <f t="shared" ref="N9:N37" si="5">IF($M9="-",LEFT($L9,3),LEFT($L9,2))</f>
        <v>0:</v>
      </c>
      <c r="O9" s="56" t="str">
        <f t="shared" ref="O9:O37" si="6">IF($M9="-",MID($L9,5,2),MID($L9,4,2))</f>
        <v>0</v>
      </c>
      <c r="P9" s="57">
        <f t="shared" ref="P9:P13" si="7">O9/60</f>
        <v>0</v>
      </c>
      <c r="Q9" s="31">
        <f t="shared" ref="Q9:Q13" si="8">IF(M9="-",N9-P9,N9+P9)</f>
        <v>0</v>
      </c>
      <c r="R9" s="101"/>
      <c r="S9" s="101"/>
      <c r="T9" s="30"/>
      <c r="U9" s="30"/>
      <c r="V9" s="30" t="s">
        <v>29</v>
      </c>
      <c r="W9" s="75">
        <f>W8/24</f>
        <v>0.30833333333333335</v>
      </c>
      <c r="X9" s="30"/>
      <c r="Y9" s="30"/>
      <c r="Z9" s="30"/>
      <c r="AA9" s="30"/>
      <c r="AB9" s="30"/>
      <c r="AC9" s="30"/>
      <c r="AD9" s="30"/>
      <c r="AE9" s="30"/>
      <c r="AF9" s="30"/>
      <c r="AG9" s="30"/>
      <c r="AH9" s="30"/>
      <c r="AI9" s="30"/>
      <c r="AJ9" s="30"/>
      <c r="AK9" s="30"/>
      <c r="AL9" s="30"/>
      <c r="AM9" s="30"/>
      <c r="AN9" s="30"/>
      <c r="AO9" s="30"/>
      <c r="AP9" s="30"/>
      <c r="AQ9" s="30"/>
      <c r="AR9" s="30"/>
    </row>
    <row r="10" spans="1:44" ht="15.75" x14ac:dyDescent="0.25">
      <c r="A10" s="7">
        <f t="shared" si="1"/>
        <v>23</v>
      </c>
      <c r="B10" s="8">
        <f t="shared" ref="B10:B37" si="9">B9+1</f>
        <v>45811</v>
      </c>
      <c r="C10" s="9" t="str" cm="1">
        <f t="array" ref="C10">_xlfn.XLOOKUP(E10,Masterdata!$B$31:$B$44,Masterdata!$A$31:$A$44,_xlfn.SWITCH(WEEKDAY($D10, 2), 1, "Monday", 2, "Tuesday", 3, "Wednesday", 4, "Thursday", 5, "Friday", 6, "Saturday", 7, "Sunday"),0)</f>
        <v>Tuesday</v>
      </c>
      <c r="D10" s="30">
        <f t="shared" si="0"/>
        <v>3</v>
      </c>
      <c r="E10" s="72">
        <f t="shared" si="2"/>
        <v>45811</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0.30833333333333335</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73" t="str">
        <f t="shared" si="4"/>
        <v>0</v>
      </c>
      <c r="N10" s="25" t="str">
        <f t="shared" si="5"/>
        <v>0:</v>
      </c>
      <c r="O10" s="56" t="str">
        <f t="shared" si="6"/>
        <v>0</v>
      </c>
      <c r="P10" s="57">
        <f t="shared" si="7"/>
        <v>0</v>
      </c>
      <c r="Q10" s="31">
        <f t="shared" si="8"/>
        <v>0</v>
      </c>
      <c r="R10" s="101"/>
      <c r="S10" s="101"/>
      <c r="T10" s="30" t="s">
        <v>18</v>
      </c>
      <c r="U10" s="30" t="s">
        <v>30</v>
      </c>
      <c r="V10" s="30" t="s">
        <v>31</v>
      </c>
      <c r="W10" s="31">
        <f>(B1/37)*160.33</f>
        <v>160.33000000000001</v>
      </c>
      <c r="X10" s="30"/>
      <c r="Y10" s="30"/>
      <c r="Z10" s="30"/>
      <c r="AA10" s="30"/>
      <c r="AB10" s="30"/>
      <c r="AC10" s="30"/>
      <c r="AD10" s="30"/>
      <c r="AE10" s="30"/>
      <c r="AF10" s="30"/>
      <c r="AG10" s="30"/>
      <c r="AH10" s="30"/>
      <c r="AI10" s="30"/>
      <c r="AJ10" s="30"/>
      <c r="AK10" s="30"/>
      <c r="AL10" s="30"/>
      <c r="AM10" s="30"/>
      <c r="AN10" s="30"/>
      <c r="AO10" s="30"/>
      <c r="AP10" s="30"/>
      <c r="AQ10" s="30"/>
      <c r="AR10" s="30"/>
    </row>
    <row r="11" spans="1:44" ht="15.75" x14ac:dyDescent="0.25">
      <c r="A11" s="7">
        <f t="shared" si="1"/>
        <v>23</v>
      </c>
      <c r="B11" s="8">
        <f t="shared" si="9"/>
        <v>45812</v>
      </c>
      <c r="C11" s="9" t="str" cm="1">
        <f t="array" ref="C11">_xlfn.XLOOKUP(E11,Masterdata!$B$31:$B$44,Masterdata!$A$31:$A$44,_xlfn.SWITCH(WEEKDAY($D11, 2), 1, "Monday", 2, "Tuesday", 3, "Wednesday", 4, "Thursday", 5, "Friday", 6, "Saturday", 7, "Sunday"),0)</f>
        <v>Wednesday</v>
      </c>
      <c r="D11" s="30">
        <f t="shared" si="0"/>
        <v>4</v>
      </c>
      <c r="E11" s="72">
        <f t="shared" si="2"/>
        <v>45812</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0.30833333333333335</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73" t="str">
        <f t="shared" si="4"/>
        <v>0</v>
      </c>
      <c r="N11" s="25" t="str">
        <f t="shared" si="5"/>
        <v>0:</v>
      </c>
      <c r="O11" s="56" t="str">
        <f t="shared" si="6"/>
        <v>0</v>
      </c>
      <c r="P11" s="57">
        <f t="shared" si="7"/>
        <v>0</v>
      </c>
      <c r="Q11" s="31">
        <f t="shared" si="8"/>
        <v>0</v>
      </c>
      <c r="R11" s="101"/>
      <c r="S11" s="10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75" x14ac:dyDescent="0.25">
      <c r="A12" s="7">
        <f t="shared" si="1"/>
        <v>23</v>
      </c>
      <c r="B12" s="8">
        <f t="shared" si="9"/>
        <v>45813</v>
      </c>
      <c r="C12" s="9" t="str" cm="1">
        <f t="array" ref="C12">_xlfn.XLOOKUP(E12,Masterdata!$B$31:$B$44,Masterdata!$A$31:$A$44,_xlfn.SWITCH(WEEKDAY($D12, 2), 1, "Monday", 2, "Tuesday", 3, "Wednesday", 4, "Thursday", 5, "Friday", 6, "Saturday", 7, "Sunday"),0)</f>
        <v>Constitution Day</v>
      </c>
      <c r="D12" s="30">
        <f t="shared" si="0"/>
        <v>5</v>
      </c>
      <c r="E12" s="72">
        <f t="shared" si="2"/>
        <v>45813</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73" t="str">
        <f t="shared" si="4"/>
        <v>0</v>
      </c>
      <c r="N12" s="25" t="str">
        <f t="shared" si="5"/>
        <v>0:</v>
      </c>
      <c r="O12" s="56" t="str">
        <f t="shared" si="6"/>
        <v>0</v>
      </c>
      <c r="P12" s="57">
        <f t="shared" si="7"/>
        <v>0</v>
      </c>
      <c r="Q12" s="31">
        <f t="shared" si="8"/>
        <v>0</v>
      </c>
      <c r="R12" s="101"/>
      <c r="S12" s="101"/>
      <c r="T12" s="30"/>
      <c r="U12" s="30"/>
      <c r="V12" s="30"/>
      <c r="W12" s="31"/>
      <c r="X12" s="30"/>
      <c r="Y12" s="30"/>
      <c r="Z12" s="30"/>
      <c r="AA12" s="30"/>
      <c r="AB12" s="30"/>
      <c r="AC12" s="30"/>
      <c r="AD12" s="30"/>
      <c r="AE12" s="30"/>
      <c r="AF12" s="30"/>
      <c r="AG12" s="30"/>
      <c r="AH12" s="30"/>
      <c r="AI12" s="30"/>
      <c r="AJ12" s="30"/>
      <c r="AK12" s="30"/>
      <c r="AL12" s="30"/>
      <c r="AM12" s="30"/>
      <c r="AN12" s="30"/>
      <c r="AO12" s="30"/>
      <c r="AP12" s="30"/>
      <c r="AQ12" s="30"/>
      <c r="AR12" s="30"/>
    </row>
    <row r="13" spans="1:44" ht="15.75" x14ac:dyDescent="0.25">
      <c r="A13" s="7">
        <f t="shared" si="1"/>
        <v>23</v>
      </c>
      <c r="B13" s="8">
        <f t="shared" si="9"/>
        <v>45814</v>
      </c>
      <c r="C13" s="9" t="str" cm="1">
        <f t="array" ref="C13">_xlfn.XLOOKUP(E13,Masterdata!$B$31:$B$44,Masterdata!$A$31:$A$44,_xlfn.SWITCH(WEEKDAY($D13, 2), 1, "Monday", 2, "Tuesday", 3, "Wednesday", 4, "Thursday", 5, "Friday", 6, "Saturday", 7, "Sunday"),0)</f>
        <v>Friday</v>
      </c>
      <c r="D13" s="30">
        <f t="shared" si="0"/>
        <v>6</v>
      </c>
      <c r="E13" s="72">
        <f t="shared" si="2"/>
        <v>45814</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0.30833333333333335</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73" t="str">
        <f t="shared" si="4"/>
        <v>0</v>
      </c>
      <c r="N13" s="25" t="str">
        <f t="shared" si="5"/>
        <v>0:</v>
      </c>
      <c r="O13" s="56" t="str">
        <f t="shared" si="6"/>
        <v>0</v>
      </c>
      <c r="P13" s="57">
        <f t="shared" si="7"/>
        <v>0</v>
      </c>
      <c r="Q13" s="31">
        <f t="shared" si="8"/>
        <v>0</v>
      </c>
      <c r="R13" s="100"/>
      <c r="S13" s="100"/>
      <c r="T13" s="30"/>
      <c r="U13" s="30"/>
      <c r="V13" s="30"/>
      <c r="W13" s="76"/>
      <c r="X13" s="30"/>
      <c r="Y13" s="30"/>
      <c r="Z13" s="30"/>
      <c r="AA13" s="30"/>
      <c r="AB13" s="30"/>
      <c r="AC13" s="30"/>
      <c r="AD13" s="30"/>
      <c r="AE13" s="30"/>
      <c r="AF13" s="30"/>
      <c r="AG13" s="30"/>
      <c r="AH13" s="30"/>
      <c r="AI13" s="30"/>
      <c r="AJ13" s="30"/>
      <c r="AK13" s="30"/>
      <c r="AL13" s="30"/>
      <c r="AM13" s="30"/>
      <c r="AN13" s="30"/>
      <c r="AO13" s="30"/>
      <c r="AP13" s="30"/>
      <c r="AQ13" s="30"/>
      <c r="AR13" s="30"/>
    </row>
    <row r="14" spans="1:44" ht="15.75" x14ac:dyDescent="0.25">
      <c r="A14" s="7">
        <f t="shared" si="1"/>
        <v>23</v>
      </c>
      <c r="B14" s="8">
        <f t="shared" si="9"/>
        <v>45815</v>
      </c>
      <c r="C14" s="9" t="str" cm="1">
        <f t="array" ref="C14">_xlfn.XLOOKUP(E14,Masterdata!$B$31:$B$44,Masterdata!$A$31:$A$44,_xlfn.SWITCH(WEEKDAY($D14, 2), 1, "Monday", 2, "Tuesday", 3, "Wednesday", 4, "Thursday", 5, "Friday", 6, "Saturday", 7, "Sunday"),0)</f>
        <v>Saturday</v>
      </c>
      <c r="D14" s="30">
        <f t="shared" si="0"/>
        <v>7</v>
      </c>
      <c r="E14" s="72">
        <f t="shared" si="2"/>
        <v>45815</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73" t="str">
        <f t="shared" si="4"/>
        <v>0</v>
      </c>
      <c r="N14" s="25" t="str">
        <f t="shared" si="5"/>
        <v>0:</v>
      </c>
      <c r="O14" s="56" t="str">
        <f t="shared" si="6"/>
        <v>0</v>
      </c>
      <c r="P14" s="57">
        <f>O14/60</f>
        <v>0</v>
      </c>
      <c r="Q14" s="31">
        <f>IF(M14="-",N14-P14,N14+P14)</f>
        <v>0</v>
      </c>
      <c r="R14" s="100"/>
      <c r="S14" s="10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75" x14ac:dyDescent="0.25">
      <c r="A15" s="7">
        <f t="shared" si="1"/>
        <v>23</v>
      </c>
      <c r="B15" s="8">
        <f t="shared" si="9"/>
        <v>45816</v>
      </c>
      <c r="C15" s="9" t="str" cm="1">
        <f t="array" ref="C15">_xlfn.XLOOKUP(E15,Masterdata!$B$31:$B$44,Masterdata!$A$31:$A$44,_xlfn.SWITCH(WEEKDAY($D15, 2), 1, "Monday", 2, "Tuesday", 3, "Wednesday", 4, "Thursday", 5, "Friday", 6, "Saturday", 7, "Sunday"),0)</f>
        <v>Pentecost</v>
      </c>
      <c r="D15" s="30">
        <f t="shared" si="0"/>
        <v>8</v>
      </c>
      <c r="E15" s="72">
        <f t="shared" si="2"/>
        <v>45816</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73" t="str">
        <f t="shared" si="4"/>
        <v>0</v>
      </c>
      <c r="N15" s="25" t="str">
        <f t="shared" si="5"/>
        <v>0:</v>
      </c>
      <c r="O15" s="56" t="str">
        <f t="shared" si="6"/>
        <v>0</v>
      </c>
      <c r="P15" s="57">
        <f t="shared" ref="P15:P37" si="10">O15/60</f>
        <v>0</v>
      </c>
      <c r="Q15" s="31">
        <f t="shared" ref="Q15:Q19" si="11">IF(M15="-",N15-P15,N15+P15)</f>
        <v>0</v>
      </c>
      <c r="R15" s="100"/>
      <c r="S15" s="100"/>
      <c r="T15" s="30" t="s">
        <v>32</v>
      </c>
      <c r="U15" s="30" t="s">
        <v>33</v>
      </c>
      <c r="V15" s="30" t="s">
        <v>34</v>
      </c>
      <c r="W15" s="31">
        <f>W10-W13</f>
        <v>160.33000000000001</v>
      </c>
      <c r="X15" s="30"/>
      <c r="Y15" s="30"/>
      <c r="Z15" s="30"/>
      <c r="AA15" s="30"/>
      <c r="AB15" s="30"/>
      <c r="AC15" s="30"/>
      <c r="AD15" s="30"/>
      <c r="AE15" s="30"/>
      <c r="AF15" s="30"/>
      <c r="AG15" s="30"/>
      <c r="AH15" s="30"/>
      <c r="AI15" s="30"/>
      <c r="AJ15" s="30"/>
      <c r="AK15" s="30"/>
      <c r="AL15" s="30"/>
      <c r="AM15" s="30"/>
      <c r="AN15" s="30"/>
      <c r="AO15" s="30"/>
      <c r="AP15" s="30"/>
      <c r="AQ15" s="30"/>
      <c r="AR15" s="30"/>
    </row>
    <row r="16" spans="1:44" ht="15.75" x14ac:dyDescent="0.25">
      <c r="A16" s="7">
        <f t="shared" si="1"/>
        <v>24</v>
      </c>
      <c r="B16" s="8">
        <f t="shared" si="9"/>
        <v>45817</v>
      </c>
      <c r="C16" s="9" t="str" cm="1">
        <f t="array" ref="C16">_xlfn.XLOOKUP(E16,Masterdata!$B$31:$B$44,Masterdata!$A$31:$A$44,_xlfn.SWITCH(WEEKDAY($D16, 2), 1, "Monday", 2, "Tuesday", 3, "Wednesday", 4, "Thursday", 5, "Friday", 6, "Saturday", 7, "Sunday"),0)</f>
        <v>Whit Monday</v>
      </c>
      <c r="D16" s="30">
        <f t="shared" si="0"/>
        <v>2</v>
      </c>
      <c r="E16" s="72">
        <f t="shared" si="2"/>
        <v>45817</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73" t="str">
        <f t="shared" si="4"/>
        <v>0</v>
      </c>
      <c r="N16" s="25" t="str">
        <f t="shared" si="5"/>
        <v>0:</v>
      </c>
      <c r="O16" s="56" t="str">
        <f t="shared" si="6"/>
        <v>0</v>
      </c>
      <c r="P16" s="57">
        <f t="shared" si="10"/>
        <v>0</v>
      </c>
      <c r="Q16" s="31">
        <f t="shared" si="11"/>
        <v>0</v>
      </c>
      <c r="R16" s="100"/>
      <c r="S16" s="100"/>
      <c r="T16" s="30" t="s">
        <v>35</v>
      </c>
      <c r="U16" s="30" t="s">
        <v>36</v>
      </c>
      <c r="V16" s="30" t="s">
        <v>37</v>
      </c>
      <c r="W16" s="31" t="e">
        <f>SUM(#REF!)</f>
        <v>#REF!</v>
      </c>
      <c r="X16" s="30"/>
      <c r="Y16" s="30"/>
      <c r="Z16" s="30"/>
      <c r="AA16" s="30"/>
      <c r="AB16" s="30"/>
      <c r="AC16" s="30"/>
      <c r="AD16" s="30"/>
      <c r="AE16" s="30"/>
      <c r="AF16" s="30"/>
      <c r="AG16" s="30"/>
      <c r="AH16" s="30"/>
      <c r="AI16" s="30"/>
      <c r="AJ16" s="30"/>
      <c r="AK16" s="30"/>
      <c r="AL16" s="30"/>
      <c r="AM16" s="30"/>
      <c r="AN16" s="30"/>
      <c r="AO16" s="30"/>
      <c r="AP16" s="30"/>
      <c r="AQ16" s="30"/>
      <c r="AR16" s="30"/>
    </row>
    <row r="17" spans="1:44" ht="15.75" x14ac:dyDescent="0.25">
      <c r="A17" s="7">
        <f t="shared" si="1"/>
        <v>24</v>
      </c>
      <c r="B17" s="8">
        <f t="shared" si="9"/>
        <v>45818</v>
      </c>
      <c r="C17" s="9" t="str" cm="1">
        <f t="array" ref="C17">_xlfn.XLOOKUP(E17,Masterdata!$B$31:$B$44,Masterdata!$A$31:$A$44,_xlfn.SWITCH(WEEKDAY($D17, 2), 1, "Monday", 2, "Tuesday", 3, "Wednesday", 4, "Thursday", 5, "Friday", 6, "Saturday", 7, "Sunday"),0)</f>
        <v>Tuesday</v>
      </c>
      <c r="D17" s="30">
        <f t="shared" si="0"/>
        <v>3</v>
      </c>
      <c r="E17" s="72">
        <f t="shared" si="2"/>
        <v>45818</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0.30833333333333335</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73" t="str">
        <f t="shared" si="4"/>
        <v>0</v>
      </c>
      <c r="N17" s="25" t="str">
        <f t="shared" si="5"/>
        <v>0:</v>
      </c>
      <c r="O17" s="56" t="str">
        <f t="shared" si="6"/>
        <v>0</v>
      </c>
      <c r="P17" s="57">
        <f t="shared" si="10"/>
        <v>0</v>
      </c>
      <c r="Q17" s="31">
        <f t="shared" si="11"/>
        <v>0</v>
      </c>
      <c r="R17" s="100"/>
      <c r="S17" s="100"/>
      <c r="T17" s="30" t="s">
        <v>19</v>
      </c>
      <c r="U17" s="30" t="s">
        <v>38</v>
      </c>
      <c r="V17" s="30" t="s">
        <v>39</v>
      </c>
      <c r="W17" s="31" t="e">
        <f>W15-W16</f>
        <v>#REF!</v>
      </c>
      <c r="X17" s="30"/>
      <c r="Y17" s="30"/>
      <c r="Z17" s="30"/>
      <c r="AA17" s="30"/>
      <c r="AB17" s="30"/>
      <c r="AC17" s="30"/>
      <c r="AD17" s="30"/>
      <c r="AE17" s="30"/>
      <c r="AF17" s="30"/>
      <c r="AG17" s="30"/>
      <c r="AH17" s="30"/>
      <c r="AI17" s="30"/>
      <c r="AJ17" s="30"/>
      <c r="AK17" s="30"/>
      <c r="AL17" s="30"/>
      <c r="AM17" s="30"/>
      <c r="AN17" s="30"/>
      <c r="AO17" s="30"/>
      <c r="AP17" s="30"/>
      <c r="AQ17" s="30"/>
      <c r="AR17" s="30"/>
    </row>
    <row r="18" spans="1:44" ht="15.75" x14ac:dyDescent="0.25">
      <c r="A18" s="7">
        <f t="shared" si="1"/>
        <v>24</v>
      </c>
      <c r="B18" s="8">
        <f t="shared" si="9"/>
        <v>45819</v>
      </c>
      <c r="C18" s="9" t="str" cm="1">
        <f t="array" ref="C18">_xlfn.XLOOKUP(E18,Masterdata!$B$31:$B$44,Masterdata!$A$31:$A$44,_xlfn.SWITCH(WEEKDAY($D18, 2), 1, "Monday", 2, "Tuesday", 3, "Wednesday", 4, "Thursday", 5, "Friday", 6, "Saturday", 7, "Sunday"),0)</f>
        <v>Wednesday</v>
      </c>
      <c r="D18" s="30">
        <f t="shared" si="0"/>
        <v>4</v>
      </c>
      <c r="E18" s="72">
        <f t="shared" si="2"/>
        <v>45819</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0.30833333333333335</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73" t="str">
        <f t="shared" si="4"/>
        <v>0</v>
      </c>
      <c r="N18" s="25" t="str">
        <f t="shared" si="5"/>
        <v>0:</v>
      </c>
      <c r="O18" s="56" t="str">
        <f t="shared" si="6"/>
        <v>0</v>
      </c>
      <c r="P18" s="57">
        <f t="shared" si="10"/>
        <v>0</v>
      </c>
      <c r="Q18" s="31">
        <f t="shared" si="11"/>
        <v>0</v>
      </c>
      <c r="R18" s="100"/>
      <c r="S18" s="100"/>
      <c r="T18" s="30"/>
      <c r="U18" s="30"/>
      <c r="V18" s="72"/>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15.75" x14ac:dyDescent="0.25">
      <c r="A19" s="7">
        <f t="shared" si="1"/>
        <v>24</v>
      </c>
      <c r="B19" s="8">
        <f t="shared" si="9"/>
        <v>45820</v>
      </c>
      <c r="C19" s="9" t="str" cm="1">
        <f t="array" ref="C19">_xlfn.XLOOKUP(E19,Masterdata!$B$31:$B$44,Masterdata!$A$31:$A$44,_xlfn.SWITCH(WEEKDAY($D19, 2), 1, "Monday", 2, "Tuesday", 3, "Wednesday", 4, "Thursday", 5, "Friday", 6, "Saturday", 7, "Sunday"),0)</f>
        <v>Thursday</v>
      </c>
      <c r="D19" s="30">
        <f t="shared" si="0"/>
        <v>5</v>
      </c>
      <c r="E19" s="72">
        <f t="shared" si="2"/>
        <v>45820</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0.30833333333333335</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73" t="str">
        <f t="shared" si="4"/>
        <v>0</v>
      </c>
      <c r="N19" s="25" t="str">
        <f t="shared" si="5"/>
        <v>0:</v>
      </c>
      <c r="O19" s="56" t="str">
        <f t="shared" si="6"/>
        <v>0</v>
      </c>
      <c r="P19" s="57">
        <f t="shared" si="10"/>
        <v>0</v>
      </c>
      <c r="Q19" s="31">
        <f t="shared" si="11"/>
        <v>0</v>
      </c>
      <c r="R19" s="100"/>
      <c r="S19" s="10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75" x14ac:dyDescent="0.25">
      <c r="A20" s="7">
        <f t="shared" si="1"/>
        <v>24</v>
      </c>
      <c r="B20" s="8">
        <f t="shared" si="9"/>
        <v>45821</v>
      </c>
      <c r="C20" s="9" t="str" cm="1">
        <f t="array" ref="C20">_xlfn.XLOOKUP(E20,Masterdata!$B$31:$B$44,Masterdata!$A$31:$A$44,_xlfn.SWITCH(WEEKDAY($D20, 2), 1, "Monday", 2, "Tuesday", 3, "Wednesday", 4, "Thursday", 5, "Friday", 6, "Saturday", 7, "Sunday"),0)</f>
        <v>Friday</v>
      </c>
      <c r="D20" s="30">
        <f t="shared" si="0"/>
        <v>6</v>
      </c>
      <c r="E20" s="72">
        <f t="shared" si="2"/>
        <v>45821</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0.30833333333333335</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73" t="str">
        <f>LEFT(L20,1)</f>
        <v>0</v>
      </c>
      <c r="N20" s="25" t="str">
        <f t="shared" si="5"/>
        <v>0:</v>
      </c>
      <c r="O20" s="56" t="str">
        <f t="shared" si="6"/>
        <v>0</v>
      </c>
      <c r="P20" s="57">
        <f t="shared" si="10"/>
        <v>0</v>
      </c>
      <c r="Q20" s="31">
        <f>IF(M20="-",N20-P20,N20+P20)</f>
        <v>0</v>
      </c>
      <c r="R20" s="100"/>
      <c r="S20" s="10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15.75" x14ac:dyDescent="0.25">
      <c r="A21" s="7">
        <f t="shared" si="1"/>
        <v>24</v>
      </c>
      <c r="B21" s="8">
        <f t="shared" si="9"/>
        <v>45822</v>
      </c>
      <c r="C21" s="9" t="str" cm="1">
        <f t="array" ref="C21">_xlfn.XLOOKUP(E21,Masterdata!$B$31:$B$44,Masterdata!$A$31:$A$44,_xlfn.SWITCH(WEEKDAY($D21, 2), 1, "Monday", 2, "Tuesday", 3, "Wednesday", 4, "Thursday", 5, "Friday", 6, "Saturday", 7, "Sunday"),0)</f>
        <v>Saturday</v>
      </c>
      <c r="D21" s="30">
        <f t="shared" si="0"/>
        <v>7</v>
      </c>
      <c r="E21" s="72">
        <f t="shared" si="2"/>
        <v>45822</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73" t="str">
        <f t="shared" ref="M21:M37" si="12">LEFT(L21,1)</f>
        <v>0</v>
      </c>
      <c r="N21" s="25" t="str">
        <f t="shared" si="5"/>
        <v>0:</v>
      </c>
      <c r="O21" s="56" t="str">
        <f t="shared" si="6"/>
        <v>0</v>
      </c>
      <c r="P21" s="57">
        <f t="shared" si="10"/>
        <v>0</v>
      </c>
      <c r="Q21" s="31">
        <f t="shared" ref="Q21:Q37" si="13">IF(M21="-",N21-P21,N21+P21)</f>
        <v>0</v>
      </c>
      <c r="R21" s="100"/>
      <c r="S21" s="10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ht="15.75" x14ac:dyDescent="0.25">
      <c r="A22" s="7">
        <f t="shared" si="1"/>
        <v>24</v>
      </c>
      <c r="B22" s="8">
        <f t="shared" si="9"/>
        <v>45823</v>
      </c>
      <c r="C22" s="9" t="str" cm="1">
        <f t="array" ref="C22">_xlfn.XLOOKUP(E22,Masterdata!$B$31:$B$44,Masterdata!$A$31:$A$44,_xlfn.SWITCH(WEEKDAY($D22, 2), 1, "Monday", 2, "Tuesday", 3, "Wednesday", 4, "Thursday", 5, "Friday", 6, "Saturday", 7, "Sunday"),0)</f>
        <v>Sunday</v>
      </c>
      <c r="D22" s="30">
        <f t="shared" si="0"/>
        <v>8</v>
      </c>
      <c r="E22" s="72">
        <f t="shared" si="2"/>
        <v>45823</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73" t="str">
        <f t="shared" si="12"/>
        <v>0</v>
      </c>
      <c r="N22" s="25" t="str">
        <f t="shared" si="5"/>
        <v>0:</v>
      </c>
      <c r="O22" s="56" t="str">
        <f t="shared" si="6"/>
        <v>0</v>
      </c>
      <c r="P22" s="57">
        <f t="shared" si="10"/>
        <v>0</v>
      </c>
      <c r="Q22" s="31">
        <f t="shared" si="13"/>
        <v>0</v>
      </c>
      <c r="R22" s="100"/>
      <c r="S22" s="10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5.75" x14ac:dyDescent="0.25">
      <c r="A23" s="7">
        <f t="shared" si="1"/>
        <v>25</v>
      </c>
      <c r="B23" s="8">
        <f t="shared" si="9"/>
        <v>45824</v>
      </c>
      <c r="C23" s="9" t="str" cm="1">
        <f t="array" ref="C23">_xlfn.XLOOKUP(E23,Masterdata!$B$31:$B$44,Masterdata!$A$31:$A$44,_xlfn.SWITCH(WEEKDAY($D23, 2), 1, "Monday", 2, "Tuesday", 3, "Wednesday", 4, "Thursday", 5, "Friday", 6, "Saturday", 7, "Sunday"),0)</f>
        <v>Monday</v>
      </c>
      <c r="D23" s="30">
        <f t="shared" si="0"/>
        <v>2</v>
      </c>
      <c r="E23" s="72">
        <f t="shared" si="2"/>
        <v>45824</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0.30833333333333335</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73" t="str">
        <f t="shared" si="12"/>
        <v>0</v>
      </c>
      <c r="N23" s="25" t="str">
        <f t="shared" si="5"/>
        <v>0:</v>
      </c>
      <c r="O23" s="56" t="str">
        <f t="shared" si="6"/>
        <v>0</v>
      </c>
      <c r="P23" s="57">
        <f t="shared" si="10"/>
        <v>0</v>
      </c>
      <c r="Q23" s="31">
        <f t="shared" si="13"/>
        <v>0</v>
      </c>
      <c r="R23" s="100"/>
      <c r="S23" s="10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15.75" x14ac:dyDescent="0.25">
      <c r="A24" s="7">
        <f t="shared" si="1"/>
        <v>25</v>
      </c>
      <c r="B24" s="8">
        <f t="shared" si="9"/>
        <v>45825</v>
      </c>
      <c r="C24" s="9" t="str" cm="1">
        <f t="array" ref="C24">_xlfn.XLOOKUP(E24,Masterdata!$B$31:$B$44,Masterdata!$A$31:$A$44,_xlfn.SWITCH(WEEKDAY($D24, 2), 1, "Monday", 2, "Tuesday", 3, "Wednesday", 4, "Thursday", 5, "Friday", 6, "Saturday", 7, "Sunday"),0)</f>
        <v>Tuesday</v>
      </c>
      <c r="D24" s="30">
        <f t="shared" si="0"/>
        <v>3</v>
      </c>
      <c r="E24" s="72">
        <f t="shared" si="2"/>
        <v>45825</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0.30833333333333335</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73" t="str">
        <f t="shared" si="12"/>
        <v>0</v>
      </c>
      <c r="N24" s="25" t="str">
        <f t="shared" si="5"/>
        <v>0:</v>
      </c>
      <c r="O24" s="56" t="str">
        <f t="shared" si="6"/>
        <v>0</v>
      </c>
      <c r="P24" s="57">
        <f t="shared" si="10"/>
        <v>0</v>
      </c>
      <c r="Q24" s="31">
        <f t="shared" si="13"/>
        <v>0</v>
      </c>
      <c r="R24" s="100"/>
      <c r="S24" s="10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5.75" x14ac:dyDescent="0.25">
      <c r="A25" s="7">
        <f t="shared" si="1"/>
        <v>25</v>
      </c>
      <c r="B25" s="8">
        <f t="shared" si="9"/>
        <v>45826</v>
      </c>
      <c r="C25" s="9" t="str" cm="1">
        <f t="array" ref="C25">_xlfn.XLOOKUP(E25,Masterdata!$B$31:$B$44,Masterdata!$A$31:$A$44,_xlfn.SWITCH(WEEKDAY($D25, 2), 1, "Monday", 2, "Tuesday", 3, "Wednesday", 4, "Thursday", 5, "Friday", 6, "Saturday", 7, "Sunday"),0)</f>
        <v>Wednesday</v>
      </c>
      <c r="D25" s="30">
        <f t="shared" si="0"/>
        <v>4</v>
      </c>
      <c r="E25" s="72">
        <f t="shared" si="2"/>
        <v>45826</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0.30833333333333335</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73" t="str">
        <f t="shared" si="12"/>
        <v>0</v>
      </c>
      <c r="N25" s="25" t="str">
        <f t="shared" si="5"/>
        <v>0:</v>
      </c>
      <c r="O25" s="56" t="str">
        <f t="shared" si="6"/>
        <v>0</v>
      </c>
      <c r="P25" s="57">
        <f t="shared" si="10"/>
        <v>0</v>
      </c>
      <c r="Q25" s="31">
        <f t="shared" si="13"/>
        <v>0</v>
      </c>
      <c r="R25" s="100"/>
      <c r="S25" s="10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ht="15.75" x14ac:dyDescent="0.25">
      <c r="A26" s="7">
        <f t="shared" si="1"/>
        <v>25</v>
      </c>
      <c r="B26" s="8">
        <f t="shared" si="9"/>
        <v>45827</v>
      </c>
      <c r="C26" s="9" t="str" cm="1">
        <f t="array" ref="C26">_xlfn.XLOOKUP(E26,Masterdata!$B$31:$B$44,Masterdata!$A$31:$A$44,_xlfn.SWITCH(WEEKDAY($D26, 2), 1, "Monday", 2, "Tuesday", 3, "Wednesday", 4, "Thursday", 5, "Friday", 6, "Saturday", 7, "Sunday"),0)</f>
        <v>Thursday</v>
      </c>
      <c r="D26" s="30">
        <f t="shared" si="0"/>
        <v>5</v>
      </c>
      <c r="E26" s="72">
        <f t="shared" si="2"/>
        <v>45827</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0.30833333333333335</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73" t="str">
        <f t="shared" si="12"/>
        <v>0</v>
      </c>
      <c r="N26" s="25" t="str">
        <f t="shared" si="5"/>
        <v>0:</v>
      </c>
      <c r="O26" s="56" t="str">
        <f t="shared" si="6"/>
        <v>0</v>
      </c>
      <c r="P26" s="57">
        <f t="shared" si="10"/>
        <v>0</v>
      </c>
      <c r="Q26" s="31">
        <f t="shared" si="13"/>
        <v>0</v>
      </c>
      <c r="R26" s="100"/>
      <c r="S26" s="10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5.75" x14ac:dyDescent="0.25">
      <c r="A27" s="7">
        <f t="shared" si="1"/>
        <v>25</v>
      </c>
      <c r="B27" s="8">
        <f t="shared" si="9"/>
        <v>45828</v>
      </c>
      <c r="C27" s="9" t="str" cm="1">
        <f t="array" ref="C27">_xlfn.XLOOKUP(E27,Masterdata!$B$31:$B$44,Masterdata!$A$31:$A$44,_xlfn.SWITCH(WEEKDAY($D27, 2), 1, "Monday", 2, "Tuesday", 3, "Wednesday", 4, "Thursday", 5, "Friday", 6, "Saturday", 7, "Sunday"),0)</f>
        <v>Friday</v>
      </c>
      <c r="D27" s="30">
        <f t="shared" si="0"/>
        <v>6</v>
      </c>
      <c r="E27" s="72">
        <f t="shared" si="2"/>
        <v>45828</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0.30833333333333335</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73" t="str">
        <f t="shared" si="12"/>
        <v>0</v>
      </c>
      <c r="N27" s="25" t="str">
        <f t="shared" si="5"/>
        <v>0:</v>
      </c>
      <c r="O27" s="56" t="str">
        <f t="shared" si="6"/>
        <v>0</v>
      </c>
      <c r="P27" s="57">
        <f t="shared" si="10"/>
        <v>0</v>
      </c>
      <c r="Q27" s="31">
        <f t="shared" si="13"/>
        <v>0</v>
      </c>
      <c r="R27" s="100"/>
      <c r="S27" s="10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ht="15.75" x14ac:dyDescent="0.25">
      <c r="A28" s="7">
        <f t="shared" si="1"/>
        <v>25</v>
      </c>
      <c r="B28" s="8">
        <f t="shared" si="9"/>
        <v>45829</v>
      </c>
      <c r="C28" s="9" t="str" cm="1">
        <f t="array" ref="C28">_xlfn.XLOOKUP(E28,Masterdata!$B$31:$B$44,Masterdata!$A$31:$A$44,_xlfn.SWITCH(WEEKDAY($D28, 2), 1, "Monday", 2, "Tuesday", 3, "Wednesday", 4, "Thursday", 5, "Friday", 6, "Saturday", 7, "Sunday"),0)</f>
        <v>Saturday</v>
      </c>
      <c r="D28" s="30">
        <f t="shared" si="0"/>
        <v>7</v>
      </c>
      <c r="E28" s="72">
        <f t="shared" si="2"/>
        <v>45829</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73" t="str">
        <f t="shared" si="12"/>
        <v>0</v>
      </c>
      <c r="N28" s="25" t="str">
        <f t="shared" si="5"/>
        <v>0:</v>
      </c>
      <c r="O28" s="56" t="str">
        <f t="shared" si="6"/>
        <v>0</v>
      </c>
      <c r="P28" s="57">
        <f t="shared" si="10"/>
        <v>0</v>
      </c>
      <c r="Q28" s="31">
        <f t="shared" si="13"/>
        <v>0</v>
      </c>
      <c r="R28" s="100"/>
      <c r="S28" s="10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5.75" x14ac:dyDescent="0.25">
      <c r="A29" s="7">
        <f t="shared" si="1"/>
        <v>25</v>
      </c>
      <c r="B29" s="8">
        <f t="shared" si="9"/>
        <v>45830</v>
      </c>
      <c r="C29" s="9" t="str" cm="1">
        <f t="array" ref="C29">_xlfn.XLOOKUP(E29,Masterdata!$B$31:$B$44,Masterdata!$A$31:$A$44,_xlfn.SWITCH(WEEKDAY($D29, 2), 1, "Monday", 2, "Tuesday", 3, "Wednesday", 4, "Thursday", 5, "Friday", 6, "Saturday", 7, "Sunday"),0)</f>
        <v>Sunday</v>
      </c>
      <c r="D29" s="30">
        <f t="shared" si="0"/>
        <v>8</v>
      </c>
      <c r="E29" s="72">
        <f t="shared" si="2"/>
        <v>45830</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73" t="str">
        <f t="shared" si="12"/>
        <v>0</v>
      </c>
      <c r="N29" s="25" t="str">
        <f t="shared" si="5"/>
        <v>0:</v>
      </c>
      <c r="O29" s="56" t="str">
        <f t="shared" si="6"/>
        <v>0</v>
      </c>
      <c r="P29" s="57">
        <f t="shared" si="10"/>
        <v>0</v>
      </c>
      <c r="Q29" s="31">
        <f t="shared" si="13"/>
        <v>0</v>
      </c>
      <c r="R29" s="100"/>
      <c r="S29" s="10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ht="15.75" x14ac:dyDescent="0.25">
      <c r="A30" s="7">
        <f t="shared" si="1"/>
        <v>26</v>
      </c>
      <c r="B30" s="8">
        <f t="shared" si="9"/>
        <v>45831</v>
      </c>
      <c r="C30" s="9" t="str" cm="1">
        <f t="array" ref="C30">_xlfn.XLOOKUP(E30,Masterdata!$B$31:$B$44,Masterdata!$A$31:$A$44,_xlfn.SWITCH(WEEKDAY($D30, 2), 1, "Monday", 2, "Tuesday", 3, "Wednesday", 4, "Thursday", 5, "Friday", 6, "Saturday", 7, "Sunday"),0)</f>
        <v>Monday</v>
      </c>
      <c r="D30" s="30">
        <f t="shared" si="0"/>
        <v>2</v>
      </c>
      <c r="E30" s="72">
        <f t="shared" si="2"/>
        <v>45831</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0.30833333333333335</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73" t="str">
        <f t="shared" si="12"/>
        <v>0</v>
      </c>
      <c r="N30" s="25" t="str">
        <f t="shared" si="5"/>
        <v>0:</v>
      </c>
      <c r="O30" s="56" t="str">
        <f t="shared" si="6"/>
        <v>0</v>
      </c>
      <c r="P30" s="57">
        <f t="shared" si="10"/>
        <v>0</v>
      </c>
      <c r="Q30" s="31">
        <f t="shared" si="13"/>
        <v>0</v>
      </c>
      <c r="R30" s="100"/>
      <c r="S30" s="10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5.75" x14ac:dyDescent="0.25">
      <c r="A31" s="7">
        <f t="shared" si="1"/>
        <v>26</v>
      </c>
      <c r="B31" s="8">
        <f t="shared" si="9"/>
        <v>45832</v>
      </c>
      <c r="C31" s="9" t="str" cm="1">
        <f t="array" ref="C31">_xlfn.XLOOKUP(E31,Masterdata!$B$31:$B$44,Masterdata!$A$31:$A$44,_xlfn.SWITCH(WEEKDAY($D31, 2), 1, "Monday", 2, "Tuesday", 3, "Wednesday", 4, "Thursday", 5, "Friday", 6, "Saturday", 7, "Sunday"),0)</f>
        <v>Tuesday</v>
      </c>
      <c r="D31" s="30">
        <f t="shared" si="0"/>
        <v>3</v>
      </c>
      <c r="E31" s="72">
        <f t="shared" si="2"/>
        <v>45832</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0.30833333333333335</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73" t="str">
        <f t="shared" si="12"/>
        <v>0</v>
      </c>
      <c r="N31" s="25" t="str">
        <f t="shared" si="5"/>
        <v>0:</v>
      </c>
      <c r="O31" s="56" t="str">
        <f t="shared" si="6"/>
        <v>0</v>
      </c>
      <c r="P31" s="57">
        <f t="shared" si="10"/>
        <v>0</v>
      </c>
      <c r="Q31" s="31">
        <f t="shared" si="13"/>
        <v>0</v>
      </c>
      <c r="R31" s="100"/>
      <c r="S31" s="10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15.75" x14ac:dyDescent="0.25">
      <c r="A32" s="7">
        <f t="shared" si="1"/>
        <v>26</v>
      </c>
      <c r="B32" s="8">
        <f t="shared" si="9"/>
        <v>45833</v>
      </c>
      <c r="C32" s="9" t="str" cm="1">
        <f t="array" ref="C32">_xlfn.XLOOKUP(E32,Masterdata!$B$31:$B$44,Masterdata!$A$31:$A$44,_xlfn.SWITCH(WEEKDAY($D32, 2), 1, "Monday", 2, "Tuesday", 3, "Wednesday", 4, "Thursday", 5, "Friday", 6, "Saturday", 7, "Sunday"),0)</f>
        <v>Wednesday</v>
      </c>
      <c r="D32" s="30">
        <f t="shared" si="0"/>
        <v>4</v>
      </c>
      <c r="E32" s="72">
        <f t="shared" si="2"/>
        <v>45833</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0.30833333333333335</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73" t="str">
        <f t="shared" si="12"/>
        <v>0</v>
      </c>
      <c r="N32" s="25" t="str">
        <f t="shared" si="5"/>
        <v>0:</v>
      </c>
      <c r="O32" s="56" t="str">
        <f t="shared" si="6"/>
        <v>0</v>
      </c>
      <c r="P32" s="57">
        <f t="shared" si="10"/>
        <v>0</v>
      </c>
      <c r="Q32" s="31">
        <f t="shared" si="13"/>
        <v>0</v>
      </c>
      <c r="R32" s="100"/>
      <c r="S32" s="10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5.75" x14ac:dyDescent="0.25">
      <c r="A33" s="7">
        <f t="shared" si="1"/>
        <v>26</v>
      </c>
      <c r="B33" s="8">
        <f t="shared" si="9"/>
        <v>45834</v>
      </c>
      <c r="C33" s="9" t="str" cm="1">
        <f t="array" ref="C33">_xlfn.XLOOKUP(E33,Masterdata!$B$31:$B$44,Masterdata!$A$31:$A$44,_xlfn.SWITCH(WEEKDAY($D33, 2), 1, "Monday", 2, "Tuesday", 3, "Wednesday", 4, "Thursday", 5, "Friday", 6, "Saturday", 7, "Sunday"),0)</f>
        <v>Thursday</v>
      </c>
      <c r="D33" s="30">
        <f t="shared" si="0"/>
        <v>5</v>
      </c>
      <c r="E33" s="72">
        <f t="shared" si="2"/>
        <v>45834</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0.30833333333333335</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73" t="str">
        <f t="shared" si="12"/>
        <v>0</v>
      </c>
      <c r="N33" s="25" t="str">
        <f t="shared" si="5"/>
        <v>0:</v>
      </c>
      <c r="O33" s="56" t="str">
        <f t="shared" si="6"/>
        <v>0</v>
      </c>
      <c r="P33" s="57">
        <f t="shared" si="10"/>
        <v>0</v>
      </c>
      <c r="Q33" s="31">
        <f t="shared" si="13"/>
        <v>0</v>
      </c>
      <c r="R33" s="100"/>
      <c r="S33" s="10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15.75" x14ac:dyDescent="0.25">
      <c r="A34" s="7">
        <f t="shared" si="1"/>
        <v>26</v>
      </c>
      <c r="B34" s="8">
        <f t="shared" si="9"/>
        <v>45835</v>
      </c>
      <c r="C34" s="9" t="str" cm="1">
        <f t="array" ref="C34">_xlfn.XLOOKUP(E34,Masterdata!$B$31:$B$44,Masterdata!$A$31:$A$44,_xlfn.SWITCH(WEEKDAY($D34, 2), 1, "Monday", 2, "Tuesday", 3, "Wednesday", 4, "Thursday", 5, "Friday", 6, "Saturday", 7, "Sunday"),0)</f>
        <v>Friday</v>
      </c>
      <c r="D34" s="30">
        <f t="shared" si="0"/>
        <v>6</v>
      </c>
      <c r="E34" s="72">
        <f t="shared" si="2"/>
        <v>45835</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0.30833333333333335</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73" t="str">
        <f t="shared" si="12"/>
        <v>0</v>
      </c>
      <c r="N34" s="25" t="str">
        <f t="shared" si="5"/>
        <v>0:</v>
      </c>
      <c r="O34" s="56" t="str">
        <f t="shared" si="6"/>
        <v>0</v>
      </c>
      <c r="P34" s="57">
        <f t="shared" si="10"/>
        <v>0</v>
      </c>
      <c r="Q34" s="31">
        <f t="shared" si="13"/>
        <v>0</v>
      </c>
      <c r="R34" s="100"/>
      <c r="S34" s="10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5.75" x14ac:dyDescent="0.25">
      <c r="A35" s="7">
        <f t="shared" si="1"/>
        <v>26</v>
      </c>
      <c r="B35" s="8">
        <f t="shared" si="9"/>
        <v>45836</v>
      </c>
      <c r="C35" s="9" t="str" cm="1">
        <f t="array" ref="C35">_xlfn.XLOOKUP(E35,Masterdata!$B$31:$B$44,Masterdata!$A$31:$A$44,_xlfn.SWITCH(WEEKDAY($D35, 2), 1, "Monday", 2, "Tuesday", 3, "Wednesday", 4, "Thursday", 5, "Friday", 6, "Saturday", 7, "Sunday"),0)</f>
        <v>Saturday</v>
      </c>
      <c r="D35" s="30">
        <f t="shared" si="0"/>
        <v>7</v>
      </c>
      <c r="E35" s="72">
        <f t="shared" si="2"/>
        <v>45836</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73" t="str">
        <f t="shared" si="12"/>
        <v>0</v>
      </c>
      <c r="N35" s="25" t="str">
        <f t="shared" si="5"/>
        <v>0:</v>
      </c>
      <c r="O35" s="56" t="str">
        <f t="shared" si="6"/>
        <v>0</v>
      </c>
      <c r="P35" s="57">
        <f t="shared" si="10"/>
        <v>0</v>
      </c>
      <c r="Q35" s="31">
        <f t="shared" si="13"/>
        <v>0</v>
      </c>
      <c r="R35" s="100"/>
      <c r="S35" s="10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15.75" x14ac:dyDescent="0.25">
      <c r="A36" s="7">
        <f t="shared" si="1"/>
        <v>26</v>
      </c>
      <c r="B36" s="8">
        <f t="shared" si="9"/>
        <v>45837</v>
      </c>
      <c r="C36" s="9" t="str" cm="1">
        <f t="array" ref="C36">_xlfn.XLOOKUP(E36,Masterdata!$B$31:$B$44,Masterdata!$A$31:$A$44,_xlfn.SWITCH(WEEKDAY($D36, 2), 1, "Monday", 2, "Tuesday", 3, "Wednesday", 4, "Thursday", 5, "Friday", 6, "Saturday", 7, "Sunday"),0)</f>
        <v>Sunday</v>
      </c>
      <c r="D36" s="30">
        <f t="shared" si="0"/>
        <v>8</v>
      </c>
      <c r="E36" s="72">
        <f t="shared" si="2"/>
        <v>45837</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73" t="str">
        <f t="shared" si="12"/>
        <v>0</v>
      </c>
      <c r="N36" s="25" t="str">
        <f t="shared" si="5"/>
        <v>0:</v>
      </c>
      <c r="O36" s="56" t="str">
        <f t="shared" si="6"/>
        <v>0</v>
      </c>
      <c r="P36" s="57">
        <f t="shared" si="10"/>
        <v>0</v>
      </c>
      <c r="Q36" s="31">
        <f t="shared" si="13"/>
        <v>0</v>
      </c>
      <c r="R36" s="100"/>
      <c r="S36" s="10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ht="15.75" x14ac:dyDescent="0.25">
      <c r="A37" s="7">
        <f t="shared" si="1"/>
        <v>27</v>
      </c>
      <c r="B37" s="8">
        <f t="shared" si="9"/>
        <v>45838</v>
      </c>
      <c r="C37" s="9" t="str" cm="1">
        <f t="array" ref="C37">_xlfn.XLOOKUP(E37,Masterdata!$B$31:$B$44,Masterdata!$A$31:$A$44,_xlfn.SWITCH(WEEKDAY($D37, 2), 1, "Monday", 2, "Tuesday", 3, "Wednesday", 4, "Thursday", 5, "Friday", 6, "Saturday", 7, "Sunday"),0)</f>
        <v>Monday</v>
      </c>
      <c r="D37" s="30">
        <f t="shared" si="0"/>
        <v>2</v>
      </c>
      <c r="E37" s="72">
        <f t="shared" si="2"/>
        <v>45838</v>
      </c>
      <c r="F37" s="10" t="s">
        <v>18</v>
      </c>
      <c r="G37" s="12">
        <f>IF(AND(F37="N",NOT(OR($C37="Monday", $C37="Tuesday",$C37="Wednesday",$C37="Thursday",$C37="Friday"))),0,IFERROR(
    IF($F37="N", $W$9,
        IF(OR(
            AND(Masterdata!$B$4&lt;&gt;DATE(1900,1,0), Masterdata!$B$4&lt;$E37),
            AND(Masterdata!$B$3&lt;&gt;DATE(1900,1,0), Masterdata!$B$3&gt;$E37)
        ),
        IF($H37&gt;=TIME(0,0,0), "Type in next cell", 0),
        IF($H37&gt;=TIME(0,0,0), "Type in next cell",
            IF($H37&gt;=0, 0,
                IF(NOT(OR($C37="Monday", $C37="Tuesday",$C37="Wednesday",$C37="Thursday",$C37="Friday")), 0, 0)
            )
        )
    )),
"Type in next cell"))</f>
        <v>0.30833333333333335</v>
      </c>
      <c r="H37" s="11">
        <v>0</v>
      </c>
      <c r="I37" s="11">
        <v>0</v>
      </c>
      <c r="J37" s="11">
        <v>0</v>
      </c>
      <c r="K37" s="27" t="str">
        <f t="shared" si="3"/>
        <v>00:00</v>
      </c>
      <c r="L37" s="27" t="str">
        <f>IF(F37="N","0:00",IF(
OR(
AND(Masterdata!$B$4&lt;&gt;DATE(1900,1,0),Masterdata!$B$4&lt;$E37),
AND(Masterdata!$B$3&lt;&gt;DATE(1900,1,0),Masterdata!$B$3&gt;$E37)
),
"0:00",
IF(
$H37&gt;TIME(0,0,0),
IF(
NOT(OR($C37="Monday", $C37="Tuesday",$C37="Wednesday",$C37="Thursday",$C37="Friday")),
TEXT($H37,"[tt]:mm"),
IF($H37-$W$9&gt;=0,TEXT($H37-$W$9,"[tt]:mm"),"-"&amp;TEXT(ABS($H37-$W$9),"[tt]:mm"))
),
IF(
NOT(OR($C37="Monday", $C37="Tuesday",$C37="Wednesday",$C37="Thursday",$C37="Friday")),
IF($J37-$I37&gt;=0,TEXT($J37-$I37,"[tt]:mm"),"-"&amp;TEXT(ABS($J37-$I37),"[tt]:mm")),
IFERROR(
IF($G37-$W$9=0,
IF($G37-$W$9&gt;=0,TEXT($G37-$W$9,"[tt]:mm"),"-"&amp;TEXT(ABS($G37-$W$9),"[tt]:mm")),
IF($J37-$I37&gt;=0,TEXT($J37-$I37,"[tt]:mm"),"-"&amp;TEXT(ABS($J37-$I37),"[tt]:mm"))
),
IF(
$J37-$I37-$W$9&gt;=0,
TEXT($J37-$I37-$W$9,"[tt]:mm"),
"-"&amp;TEXT(ABS($J37-$I37-$W$9),"[tt]:mm")
)
)
)
)
))</f>
        <v>0:00</v>
      </c>
      <c r="M37" s="73" t="str">
        <f t="shared" si="12"/>
        <v>0</v>
      </c>
      <c r="N37" s="25" t="str">
        <f t="shared" si="5"/>
        <v>0:</v>
      </c>
      <c r="O37" s="56" t="str">
        <f t="shared" si="6"/>
        <v>0</v>
      </c>
      <c r="P37" s="57">
        <f t="shared" si="10"/>
        <v>0</v>
      </c>
      <c r="Q37" s="31">
        <f t="shared" si="13"/>
        <v>0</v>
      </c>
      <c r="R37" s="100"/>
      <c r="S37" s="10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15.75" x14ac:dyDescent="0.25">
      <c r="A38" s="30"/>
      <c r="B38" s="30"/>
      <c r="C38" s="30"/>
      <c r="D38" s="30"/>
      <c r="E38" s="30"/>
      <c r="F38" s="30"/>
      <c r="G38" s="30"/>
      <c r="H38" s="30"/>
      <c r="I38" s="30"/>
      <c r="J38" s="30"/>
      <c r="K38" s="30"/>
      <c r="L38" s="75"/>
      <c r="M38" s="30"/>
      <c r="N38" s="30"/>
      <c r="O38" s="30"/>
      <c r="P38" s="30"/>
      <c r="Q38" s="31">
        <f>SUM(Q8:Q37)</f>
        <v>0</v>
      </c>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5.75"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15.7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5.7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15.7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ht="15.7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ht="15.7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ht="15.7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ht="15.7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row>
    <row r="50" spans="1:44" ht="15.7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ht="15.7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7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1:44" ht="15.7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44" ht="15.7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ht="15.7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44" ht="15.7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ht="15.7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ht="15.7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ht="15.7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ht="15.7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ht="15.7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ht="15.7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15.7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row>
    <row r="64" spans="1:44" ht="15.7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row>
    <row r="65" spans="1:44" ht="15.7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15.7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5.7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row>
    <row r="68" spans="1:44" ht="15.7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ht="15.7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row>
    <row r="70" spans="1:44" ht="15.7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ht="15.7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15.7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ht="15.7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ht="15.7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ht="15.7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row>
    <row r="76" spans="1:44" ht="15.7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ht="15.75" x14ac:dyDescent="0.25">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row>
  </sheetData>
  <sheetProtection algorithmName="SHA-512" hashValue="1Mv6+hLtSDv75pSlDzVhpGo4Y9TF//aJNgg7GpCorpd3WDwYybhVymI+PfG+wvLcAkTdJ1/oEtzL8m4v+6LKbQ==" saltValue="M9Xa17PrpthC1E/Uhsp+yA==" spinCount="100000" sheet="1" objects="1" scenarios="1"/>
  <mergeCells count="36">
    <mergeCell ref="R13:S13"/>
    <mergeCell ref="R1:S1"/>
    <mergeCell ref="R2:S2"/>
    <mergeCell ref="R3:S3"/>
    <mergeCell ref="R4:S4"/>
    <mergeCell ref="R5:S5"/>
    <mergeCell ref="R7:S7"/>
    <mergeCell ref="R8:S8"/>
    <mergeCell ref="R9:S9"/>
    <mergeCell ref="R10:S10"/>
    <mergeCell ref="R11:S11"/>
    <mergeCell ref="R12:S12"/>
    <mergeCell ref="R25:S25"/>
    <mergeCell ref="R14:S14"/>
    <mergeCell ref="R15:S15"/>
    <mergeCell ref="R16:S16"/>
    <mergeCell ref="R17:S17"/>
    <mergeCell ref="R18:S18"/>
    <mergeCell ref="R19:S19"/>
    <mergeCell ref="R20:S20"/>
    <mergeCell ref="R21:S21"/>
    <mergeCell ref="R22:S22"/>
    <mergeCell ref="R23:S23"/>
    <mergeCell ref="R24:S24"/>
    <mergeCell ref="R37:S37"/>
    <mergeCell ref="R26:S26"/>
    <mergeCell ref="R27:S27"/>
    <mergeCell ref="R28:S28"/>
    <mergeCell ref="R29:S29"/>
    <mergeCell ref="R30:S30"/>
    <mergeCell ref="R31:S31"/>
    <mergeCell ref="R32:S32"/>
    <mergeCell ref="R33:S33"/>
    <mergeCell ref="R34:S34"/>
    <mergeCell ref="R35:S35"/>
    <mergeCell ref="R36:S36"/>
  </mergeCells>
  <conditionalFormatting sqref="A8:G37">
    <cfRule type="expression" dxfId="27" priority="2">
      <formula>NOT(OR($C8="Monday", $C8="Tuesday",$C8="Wednesday",$C8="Thursday",$C8="Friday"))</formula>
    </cfRule>
  </conditionalFormatting>
  <conditionalFormatting sqref="G8:G37">
    <cfRule type="expression" dxfId="26" priority="4">
      <formula>AND($F8="N", (OR($C8="Monday", $C8="Tuesday",$C8="Wednesday",$C8="Thursday",$C8="Friday")))</formula>
    </cfRule>
  </conditionalFormatting>
  <conditionalFormatting sqref="H8:J37">
    <cfRule type="expression" dxfId="25" priority="1">
      <formula>OR($F8="N")</formula>
    </cfRule>
    <cfRule type="expression" dxfId="24" priority="3">
      <formula>$F8="R"</formula>
    </cfRule>
  </conditionalFormatting>
  <dataValidations count="1">
    <dataValidation type="list" allowBlank="1" showInputMessage="1" showErrorMessage="1" sqref="F8:F37" xr:uid="{66E6F110-6360-45AD-92CA-67B83F704C74}">
      <formula1>$L$3:$L$4</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B78A-883D-41BD-96FC-6E7F411F5F22}">
  <dimension ref="A1:AR77"/>
  <sheetViews>
    <sheetView zoomScale="70" zoomScaleNormal="70" workbookViewId="0">
      <selection activeCell="C1" sqref="C1"/>
    </sheetView>
  </sheetViews>
  <sheetFormatPr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6" width="7.5703125" hidden="1" customWidth="1" outlineLevel="1"/>
    <col min="17" max="17" width="2"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9.140625" collapsed="1"/>
  </cols>
  <sheetData>
    <row r="1" spans="1:44"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51"/>
      <c r="U1" s="51"/>
      <c r="V1" s="51"/>
      <c r="W1" s="30"/>
      <c r="X1" s="30"/>
      <c r="Y1" s="30"/>
      <c r="Z1" s="30"/>
      <c r="AA1" s="30"/>
      <c r="AB1" s="30"/>
      <c r="AC1" s="30"/>
      <c r="AD1" s="30"/>
      <c r="AE1" s="30"/>
      <c r="AF1" s="30"/>
      <c r="AG1" s="30"/>
      <c r="AH1" s="30"/>
      <c r="AI1" s="30"/>
      <c r="AJ1" s="30"/>
      <c r="AK1" s="30"/>
      <c r="AL1" s="30"/>
      <c r="AM1" s="30"/>
      <c r="AN1" s="30"/>
      <c r="AO1" s="30"/>
      <c r="AP1" s="30"/>
      <c r="AQ1" s="30"/>
      <c r="AR1" s="30"/>
    </row>
    <row r="2" spans="1:44" ht="16.5" x14ac:dyDescent="0.3">
      <c r="A2" s="44" t="s">
        <v>92</v>
      </c>
      <c r="B2" s="71" t="str">
        <f>Masterdata!$D$27</f>
        <v>00:00</v>
      </c>
      <c r="C2" s="30"/>
      <c r="D2" s="30"/>
      <c r="E2" s="30"/>
      <c r="F2" s="30"/>
      <c r="G2" s="30"/>
      <c r="H2" s="30"/>
      <c r="I2" s="30"/>
      <c r="J2" s="30"/>
      <c r="K2" s="30"/>
      <c r="L2" s="90"/>
      <c r="R2" s="106"/>
      <c r="S2" s="107"/>
      <c r="T2" s="51"/>
      <c r="U2" s="51"/>
      <c r="V2" s="51"/>
      <c r="W2" s="30"/>
      <c r="X2" s="30"/>
      <c r="Y2" s="30"/>
      <c r="Z2" s="30"/>
      <c r="AA2" s="30"/>
      <c r="AB2" s="30"/>
      <c r="AC2" s="30"/>
      <c r="AD2" s="30"/>
      <c r="AE2" s="30"/>
      <c r="AF2" s="30"/>
      <c r="AG2" s="30"/>
      <c r="AH2" s="30"/>
      <c r="AI2" s="30"/>
      <c r="AJ2" s="30"/>
      <c r="AK2" s="30"/>
      <c r="AL2" s="30"/>
      <c r="AM2" s="30"/>
      <c r="AN2" s="30"/>
      <c r="AO2" s="30"/>
      <c r="AP2" s="30"/>
      <c r="AQ2" s="30"/>
      <c r="AR2" s="30"/>
    </row>
    <row r="3" spans="1:44" ht="31.5" customHeight="1" x14ac:dyDescent="0.25">
      <c r="A3" s="47" t="s">
        <v>109</v>
      </c>
      <c r="B3" s="71" t="str">
        <f>IF(Q39&lt;0,"-"&amp;TEXT(ABS(Q39/24),"[tt]:mm"),TEXT(Q39/24,"[tt]:mm"))</f>
        <v>00:00</v>
      </c>
      <c r="C3" s="30"/>
      <c r="D3" s="30"/>
      <c r="E3" s="30"/>
      <c r="F3" s="30"/>
      <c r="G3" s="30"/>
      <c r="H3" s="30"/>
      <c r="I3" s="30"/>
      <c r="J3" s="30"/>
      <c r="K3" s="30"/>
      <c r="L3" s="91" t="s">
        <v>18</v>
      </c>
      <c r="R3" s="108" t="s">
        <v>130</v>
      </c>
      <c r="S3" s="109"/>
      <c r="T3" s="52"/>
      <c r="U3" s="52"/>
      <c r="V3" s="52"/>
      <c r="W3" s="30"/>
      <c r="X3" s="30"/>
      <c r="Y3" s="30"/>
      <c r="Z3" s="30"/>
      <c r="AA3" s="30"/>
      <c r="AB3" s="30"/>
      <c r="AC3" s="30"/>
      <c r="AD3" s="30"/>
      <c r="AE3" s="30"/>
      <c r="AF3" s="30"/>
      <c r="AG3" s="30"/>
      <c r="AH3" s="30"/>
      <c r="AI3" s="30"/>
      <c r="AJ3" s="30"/>
      <c r="AK3" s="30"/>
      <c r="AL3" s="30"/>
      <c r="AM3" s="30"/>
      <c r="AN3" s="30"/>
      <c r="AO3" s="30"/>
      <c r="AP3" s="30"/>
      <c r="AQ3" s="30"/>
      <c r="AR3" s="30"/>
    </row>
    <row r="4" spans="1:44" ht="54.95" customHeight="1" x14ac:dyDescent="0.25">
      <c r="A4" s="17" t="s">
        <v>110</v>
      </c>
      <c r="B4" s="48">
        <f>Masterdata!$B$5</f>
        <v>2025</v>
      </c>
      <c r="C4" s="30"/>
      <c r="D4" s="30"/>
      <c r="E4" s="30"/>
      <c r="F4" s="30"/>
      <c r="G4" s="30"/>
      <c r="H4" s="30"/>
      <c r="I4" s="30"/>
      <c r="J4" s="30"/>
      <c r="K4" s="30"/>
      <c r="L4" s="92" t="s">
        <v>19</v>
      </c>
      <c r="R4" s="110" t="s">
        <v>132</v>
      </c>
      <c r="S4" s="111"/>
      <c r="T4" s="53"/>
      <c r="U4" s="53"/>
      <c r="V4" s="53"/>
      <c r="W4" s="30"/>
      <c r="X4" s="30"/>
      <c r="Y4" s="30"/>
      <c r="Z4" s="30"/>
      <c r="AA4" s="30"/>
      <c r="AB4" s="30"/>
      <c r="AC4" s="30"/>
      <c r="AD4" s="30"/>
      <c r="AE4" s="30"/>
      <c r="AF4" s="30"/>
      <c r="AG4" s="30"/>
      <c r="AH4" s="30"/>
      <c r="AI4" s="30"/>
      <c r="AJ4" s="30"/>
      <c r="AK4" s="30"/>
      <c r="AL4" s="30"/>
      <c r="AM4" s="30"/>
      <c r="AN4" s="30"/>
      <c r="AO4" s="30"/>
      <c r="AP4" s="30"/>
      <c r="AQ4" s="30"/>
      <c r="AR4" s="30"/>
    </row>
    <row r="5" spans="1:44" ht="16.5" thickBot="1" x14ac:dyDescent="0.3">
      <c r="A5" s="13" t="s">
        <v>89</v>
      </c>
      <c r="B5" s="18" t="s">
        <v>128</v>
      </c>
      <c r="C5" s="30"/>
      <c r="D5" s="30"/>
      <c r="E5" s="30"/>
      <c r="F5" s="30"/>
      <c r="G5" s="30"/>
      <c r="H5" s="30"/>
      <c r="I5" s="30"/>
      <c r="J5" s="30"/>
      <c r="K5" s="30"/>
      <c r="L5" s="93" t="s">
        <v>118</v>
      </c>
      <c r="M5" s="94"/>
      <c r="N5" s="94"/>
      <c r="O5" s="94"/>
      <c r="P5" s="94"/>
      <c r="Q5" s="94"/>
      <c r="R5" s="112" t="s">
        <v>119</v>
      </c>
      <c r="S5" s="113"/>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6.5" thickBot="1"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Q7" s="30"/>
      <c r="R7" s="102" t="s">
        <v>121</v>
      </c>
      <c r="S7" s="103"/>
      <c r="T7" s="30"/>
      <c r="U7" s="30"/>
      <c r="V7" s="30" t="s">
        <v>27</v>
      </c>
      <c r="W7" s="30">
        <v>5</v>
      </c>
      <c r="X7" s="30"/>
      <c r="Y7" s="30"/>
      <c r="Z7" s="30"/>
      <c r="AA7" s="30"/>
      <c r="AB7" s="30"/>
      <c r="AC7" s="30"/>
      <c r="AD7" s="30"/>
      <c r="AE7" s="30"/>
      <c r="AF7" s="30"/>
      <c r="AG7" s="30"/>
      <c r="AH7" s="30"/>
      <c r="AI7" s="30"/>
      <c r="AJ7" s="30"/>
      <c r="AK7" s="30"/>
      <c r="AL7" s="30"/>
      <c r="AM7" s="30"/>
      <c r="AN7" s="30"/>
      <c r="AO7" s="30"/>
      <c r="AP7" s="30"/>
      <c r="AQ7" s="30"/>
      <c r="AR7" s="30"/>
    </row>
    <row r="8" spans="1:44" ht="15.75" x14ac:dyDescent="0.25">
      <c r="A8" s="7">
        <f>WEEKNUM($B8,21)</f>
        <v>27</v>
      </c>
      <c r="B8" s="8">
        <f>DATE(Masterdata!$B$5,7,1)</f>
        <v>45839</v>
      </c>
      <c r="C8" s="9" t="str" cm="1">
        <f t="array" ref="C8">_xlfn.XLOOKUP(E8,Masterdata!$B$31:$B$44,Masterdata!$A$31:$A$44,_xlfn.SWITCH(WEEKDAY($D8, 2), 1, "Monday", 2, "Tuesday", 3, "Wednesday", 4, "Thursday", 5, "Friday", 6, "Saturday", 7, "Sunday"),0)</f>
        <v>Tuesday</v>
      </c>
      <c r="D8" s="30">
        <f t="shared" ref="D8:D38" si="0">WEEKDAY($B8, 2)+1</f>
        <v>3</v>
      </c>
      <c r="E8" s="72">
        <f>$B8</f>
        <v>45839</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0.30833333333333335</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73" t="str">
        <f>LEFT(L8,1)</f>
        <v>0</v>
      </c>
      <c r="N8" s="25" t="str">
        <f>IF($M8="-",LEFT($L8,3),LEFT($L8,2))</f>
        <v>0:</v>
      </c>
      <c r="O8" s="56" t="str">
        <f>IF($M8="-",MID($L8,5,2),MID($L8,4,2))</f>
        <v>0</v>
      </c>
      <c r="P8" s="57">
        <f>O8/60</f>
        <v>0</v>
      </c>
      <c r="Q8" s="31">
        <f>IF(M8="-",N8-P8,N8+P8)</f>
        <v>0</v>
      </c>
      <c r="R8" s="101"/>
      <c r="S8" s="101"/>
      <c r="T8" s="30"/>
      <c r="U8" s="30"/>
      <c r="V8" s="30" t="s">
        <v>28</v>
      </c>
      <c r="W8" s="74">
        <f>B1/W7</f>
        <v>7.4</v>
      </c>
      <c r="X8" s="30">
        <v>0</v>
      </c>
      <c r="Y8" s="75"/>
      <c r="Z8" s="30"/>
      <c r="AA8" s="30"/>
      <c r="AB8" s="30"/>
      <c r="AC8" s="30"/>
      <c r="AD8" s="30"/>
      <c r="AE8" s="30"/>
      <c r="AF8" s="30"/>
      <c r="AG8" s="30"/>
      <c r="AH8" s="30"/>
      <c r="AI8" s="30"/>
      <c r="AJ8" s="30"/>
      <c r="AK8" s="30"/>
      <c r="AL8" s="30"/>
      <c r="AM8" s="30"/>
      <c r="AN8" s="30"/>
      <c r="AO8" s="30"/>
      <c r="AP8" s="30"/>
      <c r="AQ8" s="30"/>
      <c r="AR8" s="30"/>
    </row>
    <row r="9" spans="1:44" ht="15.75" x14ac:dyDescent="0.25">
      <c r="A9" s="7">
        <f t="shared" ref="A9:A38" si="1">WEEKNUM($B9,21)</f>
        <v>27</v>
      </c>
      <c r="B9" s="8">
        <f>B8+1</f>
        <v>45840</v>
      </c>
      <c r="C9" s="9" t="str" cm="1">
        <f t="array" ref="C9">_xlfn.XLOOKUP(E9,Masterdata!$B$31:$B$44,Masterdata!$A$31:$A$44,_xlfn.SWITCH(WEEKDAY($D9, 2), 1, "Monday", 2, "Tuesday", 3, "Wednesday", 4, "Thursday", 5, "Friday", 6, "Saturday", 7, "Sunday"),0)</f>
        <v>Wednesday</v>
      </c>
      <c r="D9" s="30">
        <f t="shared" si="0"/>
        <v>4</v>
      </c>
      <c r="E9" s="72">
        <f t="shared" ref="E9:E38" si="2">$B9</f>
        <v>45840</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0.30833333333333335</v>
      </c>
      <c r="H9" s="11">
        <v>0</v>
      </c>
      <c r="I9" s="11">
        <v>0</v>
      </c>
      <c r="J9" s="11">
        <v>0</v>
      </c>
      <c r="K9" s="27" t="str">
        <f t="shared" ref="K9:K38"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73" t="str">
        <f t="shared" ref="M9:M19" si="4">LEFT(L9,1)</f>
        <v>0</v>
      </c>
      <c r="N9" s="25" t="str">
        <f t="shared" ref="N9:N38" si="5">IF($M9="-",LEFT($L9,3),LEFT($L9,2))</f>
        <v>0:</v>
      </c>
      <c r="O9" s="56" t="str">
        <f t="shared" ref="O9:O38" si="6">IF($M9="-",MID($L9,5,2),MID($L9,4,2))</f>
        <v>0</v>
      </c>
      <c r="P9" s="57">
        <f t="shared" ref="P9:P13" si="7">O9/60</f>
        <v>0</v>
      </c>
      <c r="Q9" s="31">
        <f t="shared" ref="Q9:Q13" si="8">IF(M9="-",N9-P9,N9+P9)</f>
        <v>0</v>
      </c>
      <c r="R9" s="101"/>
      <c r="S9" s="101"/>
      <c r="T9" s="30"/>
      <c r="U9" s="30"/>
      <c r="V9" s="30" t="s">
        <v>29</v>
      </c>
      <c r="W9" s="75">
        <f>W8/24</f>
        <v>0.30833333333333335</v>
      </c>
      <c r="X9" s="30"/>
      <c r="Y9" s="30"/>
      <c r="Z9" s="30"/>
      <c r="AA9" s="30"/>
      <c r="AB9" s="30"/>
      <c r="AC9" s="30"/>
      <c r="AD9" s="30"/>
      <c r="AE9" s="30"/>
      <c r="AF9" s="30"/>
      <c r="AG9" s="30"/>
      <c r="AH9" s="30"/>
      <c r="AI9" s="30"/>
      <c r="AJ9" s="30"/>
      <c r="AK9" s="30"/>
      <c r="AL9" s="30"/>
      <c r="AM9" s="30"/>
      <c r="AN9" s="30"/>
      <c r="AO9" s="30"/>
      <c r="AP9" s="30"/>
      <c r="AQ9" s="30"/>
      <c r="AR9" s="30"/>
    </row>
    <row r="10" spans="1:44" ht="15.75" x14ac:dyDescent="0.25">
      <c r="A10" s="7">
        <f t="shared" si="1"/>
        <v>27</v>
      </c>
      <c r="B10" s="8">
        <f t="shared" ref="B10:B38" si="9">B9+1</f>
        <v>45841</v>
      </c>
      <c r="C10" s="9" t="str" cm="1">
        <f t="array" ref="C10">_xlfn.XLOOKUP(E10,Masterdata!$B$31:$B$44,Masterdata!$A$31:$A$44,_xlfn.SWITCH(WEEKDAY($D10, 2), 1, "Monday", 2, "Tuesday", 3, "Wednesday", 4, "Thursday", 5, "Friday", 6, "Saturday", 7, "Sunday"),0)</f>
        <v>Thursday</v>
      </c>
      <c r="D10" s="30">
        <f t="shared" si="0"/>
        <v>5</v>
      </c>
      <c r="E10" s="72">
        <f t="shared" si="2"/>
        <v>45841</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0.30833333333333335</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73" t="str">
        <f t="shared" si="4"/>
        <v>0</v>
      </c>
      <c r="N10" s="25" t="str">
        <f t="shared" si="5"/>
        <v>0:</v>
      </c>
      <c r="O10" s="56" t="str">
        <f t="shared" si="6"/>
        <v>0</v>
      </c>
      <c r="P10" s="57">
        <f t="shared" si="7"/>
        <v>0</v>
      </c>
      <c r="Q10" s="31">
        <f t="shared" si="8"/>
        <v>0</v>
      </c>
      <c r="R10" s="101"/>
      <c r="S10" s="101"/>
      <c r="T10" s="30" t="s">
        <v>18</v>
      </c>
      <c r="U10" s="30" t="s">
        <v>30</v>
      </c>
      <c r="V10" s="30" t="s">
        <v>31</v>
      </c>
      <c r="W10" s="31">
        <f>(B1/37)*160.33</f>
        <v>160.33000000000001</v>
      </c>
      <c r="X10" s="30"/>
      <c r="Y10" s="30"/>
      <c r="Z10" s="30"/>
      <c r="AA10" s="30"/>
      <c r="AB10" s="30"/>
      <c r="AC10" s="30"/>
      <c r="AD10" s="30"/>
      <c r="AE10" s="30"/>
      <c r="AF10" s="30"/>
      <c r="AG10" s="30"/>
      <c r="AH10" s="30"/>
      <c r="AI10" s="30"/>
      <c r="AJ10" s="30"/>
      <c r="AK10" s="30"/>
      <c r="AL10" s="30"/>
      <c r="AM10" s="30"/>
      <c r="AN10" s="30"/>
      <c r="AO10" s="30"/>
      <c r="AP10" s="30"/>
      <c r="AQ10" s="30"/>
      <c r="AR10" s="30"/>
    </row>
    <row r="11" spans="1:44" ht="15.75" x14ac:dyDescent="0.25">
      <c r="A11" s="7">
        <f t="shared" si="1"/>
        <v>27</v>
      </c>
      <c r="B11" s="8">
        <f t="shared" si="9"/>
        <v>45842</v>
      </c>
      <c r="C11" s="9" t="str" cm="1">
        <f t="array" ref="C11">_xlfn.XLOOKUP(E11,Masterdata!$B$31:$B$44,Masterdata!$A$31:$A$44,_xlfn.SWITCH(WEEKDAY($D11, 2), 1, "Monday", 2, "Tuesday", 3, "Wednesday", 4, "Thursday", 5, "Friday", 6, "Saturday", 7, "Sunday"),0)</f>
        <v>Friday</v>
      </c>
      <c r="D11" s="30">
        <f t="shared" si="0"/>
        <v>6</v>
      </c>
      <c r="E11" s="72">
        <f t="shared" si="2"/>
        <v>45842</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0.30833333333333335</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73" t="str">
        <f t="shared" si="4"/>
        <v>0</v>
      </c>
      <c r="N11" s="25" t="str">
        <f t="shared" si="5"/>
        <v>0:</v>
      </c>
      <c r="O11" s="56" t="str">
        <f t="shared" si="6"/>
        <v>0</v>
      </c>
      <c r="P11" s="57">
        <f t="shared" si="7"/>
        <v>0</v>
      </c>
      <c r="Q11" s="31">
        <f t="shared" si="8"/>
        <v>0</v>
      </c>
      <c r="R11" s="101"/>
      <c r="S11" s="10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75" x14ac:dyDescent="0.25">
      <c r="A12" s="7">
        <f t="shared" si="1"/>
        <v>27</v>
      </c>
      <c r="B12" s="8">
        <f t="shared" si="9"/>
        <v>45843</v>
      </c>
      <c r="C12" s="9" t="str" cm="1">
        <f t="array" ref="C12">_xlfn.XLOOKUP(E12,Masterdata!$B$31:$B$44,Masterdata!$A$31:$A$44,_xlfn.SWITCH(WEEKDAY($D12, 2), 1, "Monday", 2, "Tuesday", 3, "Wednesday", 4, "Thursday", 5, "Friday", 6, "Saturday", 7, "Sunday"),0)</f>
        <v>Saturday</v>
      </c>
      <c r="D12" s="30">
        <f t="shared" si="0"/>
        <v>7</v>
      </c>
      <c r="E12" s="72">
        <f t="shared" si="2"/>
        <v>45843</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73" t="str">
        <f t="shared" si="4"/>
        <v>0</v>
      </c>
      <c r="N12" s="25" t="str">
        <f t="shared" si="5"/>
        <v>0:</v>
      </c>
      <c r="O12" s="56" t="str">
        <f t="shared" si="6"/>
        <v>0</v>
      </c>
      <c r="P12" s="57">
        <f t="shared" si="7"/>
        <v>0</v>
      </c>
      <c r="Q12" s="31">
        <f t="shared" si="8"/>
        <v>0</v>
      </c>
      <c r="R12" s="101"/>
      <c r="S12" s="101"/>
      <c r="T12" s="30"/>
      <c r="U12" s="30"/>
      <c r="V12" s="30"/>
      <c r="W12" s="31"/>
      <c r="X12" s="30"/>
      <c r="Y12" s="30"/>
      <c r="Z12" s="30"/>
      <c r="AA12" s="30"/>
      <c r="AB12" s="30"/>
      <c r="AC12" s="30"/>
      <c r="AD12" s="30"/>
      <c r="AE12" s="30"/>
      <c r="AF12" s="30"/>
      <c r="AG12" s="30"/>
      <c r="AH12" s="30"/>
      <c r="AI12" s="30"/>
      <c r="AJ12" s="30"/>
      <c r="AK12" s="30"/>
      <c r="AL12" s="30"/>
      <c r="AM12" s="30"/>
      <c r="AN12" s="30"/>
      <c r="AO12" s="30"/>
      <c r="AP12" s="30"/>
      <c r="AQ12" s="30"/>
      <c r="AR12" s="30"/>
    </row>
    <row r="13" spans="1:44" ht="15.75" x14ac:dyDescent="0.25">
      <c r="A13" s="7">
        <f t="shared" si="1"/>
        <v>27</v>
      </c>
      <c r="B13" s="8">
        <f t="shared" si="9"/>
        <v>45844</v>
      </c>
      <c r="C13" s="9" t="str" cm="1">
        <f t="array" ref="C13">_xlfn.XLOOKUP(E13,Masterdata!$B$31:$B$44,Masterdata!$A$31:$A$44,_xlfn.SWITCH(WEEKDAY($D13, 2), 1, "Monday", 2, "Tuesday", 3, "Wednesday", 4, "Thursday", 5, "Friday", 6, "Saturday", 7, "Sunday"),0)</f>
        <v>Sunday</v>
      </c>
      <c r="D13" s="30">
        <f t="shared" si="0"/>
        <v>8</v>
      </c>
      <c r="E13" s="72">
        <f t="shared" si="2"/>
        <v>45844</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73" t="str">
        <f t="shared" si="4"/>
        <v>0</v>
      </c>
      <c r="N13" s="25" t="str">
        <f t="shared" si="5"/>
        <v>0:</v>
      </c>
      <c r="O13" s="56" t="str">
        <f t="shared" si="6"/>
        <v>0</v>
      </c>
      <c r="P13" s="57">
        <f t="shared" si="7"/>
        <v>0</v>
      </c>
      <c r="Q13" s="31">
        <f t="shared" si="8"/>
        <v>0</v>
      </c>
      <c r="R13" s="100"/>
      <c r="S13" s="100"/>
      <c r="T13" s="30"/>
      <c r="U13" s="30"/>
      <c r="V13" s="30"/>
      <c r="W13" s="76"/>
      <c r="X13" s="30"/>
      <c r="Y13" s="30"/>
      <c r="Z13" s="30"/>
      <c r="AA13" s="30"/>
      <c r="AB13" s="30"/>
      <c r="AC13" s="30"/>
      <c r="AD13" s="30"/>
      <c r="AE13" s="30"/>
      <c r="AF13" s="30"/>
      <c r="AG13" s="30"/>
      <c r="AH13" s="30"/>
      <c r="AI13" s="30"/>
      <c r="AJ13" s="30"/>
      <c r="AK13" s="30"/>
      <c r="AL13" s="30"/>
      <c r="AM13" s="30"/>
      <c r="AN13" s="30"/>
      <c r="AO13" s="30"/>
      <c r="AP13" s="30"/>
      <c r="AQ13" s="30"/>
      <c r="AR13" s="30"/>
    </row>
    <row r="14" spans="1:44" ht="15.75" x14ac:dyDescent="0.25">
      <c r="A14" s="7">
        <f t="shared" si="1"/>
        <v>28</v>
      </c>
      <c r="B14" s="8">
        <f t="shared" si="9"/>
        <v>45845</v>
      </c>
      <c r="C14" s="9" t="str" cm="1">
        <f t="array" ref="C14">_xlfn.XLOOKUP(E14,Masterdata!$B$31:$B$44,Masterdata!$A$31:$A$44,_xlfn.SWITCH(WEEKDAY($D14, 2), 1, "Monday", 2, "Tuesday", 3, "Wednesday", 4, "Thursday", 5, "Friday", 6, "Saturday", 7, "Sunday"),0)</f>
        <v>Monday</v>
      </c>
      <c r="D14" s="30">
        <f t="shared" si="0"/>
        <v>2</v>
      </c>
      <c r="E14" s="72">
        <f t="shared" si="2"/>
        <v>45845</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0.30833333333333335</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73" t="str">
        <f t="shared" si="4"/>
        <v>0</v>
      </c>
      <c r="N14" s="25" t="str">
        <f t="shared" si="5"/>
        <v>0:</v>
      </c>
      <c r="O14" s="56" t="str">
        <f t="shared" si="6"/>
        <v>0</v>
      </c>
      <c r="P14" s="57">
        <f>O14/60</f>
        <v>0</v>
      </c>
      <c r="Q14" s="31">
        <f>IF(M14="-",N14-P14,N14+P14)</f>
        <v>0</v>
      </c>
      <c r="R14" s="100"/>
      <c r="S14" s="10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75" x14ac:dyDescent="0.25">
      <c r="A15" s="7">
        <f t="shared" si="1"/>
        <v>28</v>
      </c>
      <c r="B15" s="8">
        <f t="shared" si="9"/>
        <v>45846</v>
      </c>
      <c r="C15" s="9" t="str" cm="1">
        <f t="array" ref="C15">_xlfn.XLOOKUP(E15,Masterdata!$B$31:$B$44,Masterdata!$A$31:$A$44,_xlfn.SWITCH(WEEKDAY($D15, 2), 1, "Monday", 2, "Tuesday", 3, "Wednesday", 4, "Thursday", 5, "Friday", 6, "Saturday", 7, "Sunday"),0)</f>
        <v>Tuesday</v>
      </c>
      <c r="D15" s="30">
        <f t="shared" si="0"/>
        <v>3</v>
      </c>
      <c r="E15" s="72">
        <f t="shared" si="2"/>
        <v>45846</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0.30833333333333335</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73" t="str">
        <f t="shared" si="4"/>
        <v>0</v>
      </c>
      <c r="N15" s="25" t="str">
        <f t="shared" si="5"/>
        <v>0:</v>
      </c>
      <c r="O15" s="56" t="str">
        <f t="shared" si="6"/>
        <v>0</v>
      </c>
      <c r="P15" s="57">
        <f t="shared" ref="P15:P38" si="10">O15/60</f>
        <v>0</v>
      </c>
      <c r="Q15" s="31">
        <f t="shared" ref="Q15:Q19" si="11">IF(M15="-",N15-P15,N15+P15)</f>
        <v>0</v>
      </c>
      <c r="R15" s="100"/>
      <c r="S15" s="100"/>
      <c r="T15" s="30" t="s">
        <v>32</v>
      </c>
      <c r="U15" s="30" t="s">
        <v>33</v>
      </c>
      <c r="V15" s="30" t="s">
        <v>34</v>
      </c>
      <c r="W15" s="31">
        <f>W10-W13</f>
        <v>160.33000000000001</v>
      </c>
      <c r="X15" s="30"/>
      <c r="Y15" s="30"/>
      <c r="Z15" s="30"/>
      <c r="AA15" s="30"/>
      <c r="AB15" s="30"/>
      <c r="AC15" s="30"/>
      <c r="AD15" s="30"/>
      <c r="AE15" s="30"/>
      <c r="AF15" s="30"/>
      <c r="AG15" s="30"/>
      <c r="AH15" s="30"/>
      <c r="AI15" s="30"/>
      <c r="AJ15" s="30"/>
      <c r="AK15" s="30"/>
      <c r="AL15" s="30"/>
      <c r="AM15" s="30"/>
      <c r="AN15" s="30"/>
      <c r="AO15" s="30"/>
      <c r="AP15" s="30"/>
      <c r="AQ15" s="30"/>
      <c r="AR15" s="30"/>
    </row>
    <row r="16" spans="1:44" ht="15.75" x14ac:dyDescent="0.25">
      <c r="A16" s="7">
        <f t="shared" si="1"/>
        <v>28</v>
      </c>
      <c r="B16" s="8">
        <f t="shared" si="9"/>
        <v>45847</v>
      </c>
      <c r="C16" s="9" t="str" cm="1">
        <f t="array" ref="C16">_xlfn.XLOOKUP(E16,Masterdata!$B$31:$B$44,Masterdata!$A$31:$A$44,_xlfn.SWITCH(WEEKDAY($D16, 2), 1, "Monday", 2, "Tuesday", 3, "Wednesday", 4, "Thursday", 5, "Friday", 6, "Saturday", 7, "Sunday"),0)</f>
        <v>Wednesday</v>
      </c>
      <c r="D16" s="30">
        <f t="shared" si="0"/>
        <v>4</v>
      </c>
      <c r="E16" s="72">
        <f t="shared" si="2"/>
        <v>45847</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0.30833333333333335</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73" t="str">
        <f t="shared" si="4"/>
        <v>0</v>
      </c>
      <c r="N16" s="25" t="str">
        <f t="shared" si="5"/>
        <v>0:</v>
      </c>
      <c r="O16" s="56" t="str">
        <f t="shared" si="6"/>
        <v>0</v>
      </c>
      <c r="P16" s="57">
        <f t="shared" si="10"/>
        <v>0</v>
      </c>
      <c r="Q16" s="31">
        <f t="shared" si="11"/>
        <v>0</v>
      </c>
      <c r="R16" s="100"/>
      <c r="S16" s="100"/>
      <c r="T16" s="30" t="s">
        <v>35</v>
      </c>
      <c r="U16" s="30" t="s">
        <v>36</v>
      </c>
      <c r="V16" s="30" t="s">
        <v>37</v>
      </c>
      <c r="W16" s="31" t="e">
        <f>SUM(#REF!)</f>
        <v>#REF!</v>
      </c>
      <c r="X16" s="30"/>
      <c r="Y16" s="30"/>
      <c r="Z16" s="30"/>
      <c r="AA16" s="30"/>
      <c r="AB16" s="30"/>
      <c r="AC16" s="30"/>
      <c r="AD16" s="30"/>
      <c r="AE16" s="30"/>
      <c r="AF16" s="30"/>
      <c r="AG16" s="30"/>
      <c r="AH16" s="30"/>
      <c r="AI16" s="30"/>
      <c r="AJ16" s="30"/>
      <c r="AK16" s="30"/>
      <c r="AL16" s="30"/>
      <c r="AM16" s="30"/>
      <c r="AN16" s="30"/>
      <c r="AO16" s="30"/>
      <c r="AP16" s="30"/>
      <c r="AQ16" s="30"/>
      <c r="AR16" s="30"/>
    </row>
    <row r="17" spans="1:44" ht="15.75" x14ac:dyDescent="0.25">
      <c r="A17" s="7">
        <f t="shared" si="1"/>
        <v>28</v>
      </c>
      <c r="B17" s="8">
        <f t="shared" si="9"/>
        <v>45848</v>
      </c>
      <c r="C17" s="9" t="str" cm="1">
        <f t="array" ref="C17">_xlfn.XLOOKUP(E17,Masterdata!$B$31:$B$44,Masterdata!$A$31:$A$44,_xlfn.SWITCH(WEEKDAY($D17, 2), 1, "Monday", 2, "Tuesday", 3, "Wednesday", 4, "Thursday", 5, "Friday", 6, "Saturday", 7, "Sunday"),0)</f>
        <v>Thursday</v>
      </c>
      <c r="D17" s="30">
        <f t="shared" si="0"/>
        <v>5</v>
      </c>
      <c r="E17" s="72">
        <f t="shared" si="2"/>
        <v>45848</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0.30833333333333335</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73" t="str">
        <f t="shared" si="4"/>
        <v>0</v>
      </c>
      <c r="N17" s="25" t="str">
        <f t="shared" si="5"/>
        <v>0:</v>
      </c>
      <c r="O17" s="56" t="str">
        <f t="shared" si="6"/>
        <v>0</v>
      </c>
      <c r="P17" s="57">
        <f t="shared" si="10"/>
        <v>0</v>
      </c>
      <c r="Q17" s="31">
        <f t="shared" si="11"/>
        <v>0</v>
      </c>
      <c r="R17" s="100"/>
      <c r="S17" s="100"/>
      <c r="T17" s="30" t="s">
        <v>19</v>
      </c>
      <c r="U17" s="30" t="s">
        <v>38</v>
      </c>
      <c r="V17" s="30" t="s">
        <v>39</v>
      </c>
      <c r="W17" s="31" t="e">
        <f>W15-W16</f>
        <v>#REF!</v>
      </c>
      <c r="X17" s="30"/>
      <c r="Y17" s="30"/>
      <c r="Z17" s="30"/>
      <c r="AA17" s="30"/>
      <c r="AB17" s="30"/>
      <c r="AC17" s="30"/>
      <c r="AD17" s="30"/>
      <c r="AE17" s="30"/>
      <c r="AF17" s="30"/>
      <c r="AG17" s="30"/>
      <c r="AH17" s="30"/>
      <c r="AI17" s="30"/>
      <c r="AJ17" s="30"/>
      <c r="AK17" s="30"/>
      <c r="AL17" s="30"/>
      <c r="AM17" s="30"/>
      <c r="AN17" s="30"/>
      <c r="AO17" s="30"/>
      <c r="AP17" s="30"/>
      <c r="AQ17" s="30"/>
      <c r="AR17" s="30"/>
    </row>
    <row r="18" spans="1:44" ht="15.75" x14ac:dyDescent="0.25">
      <c r="A18" s="7">
        <f t="shared" si="1"/>
        <v>28</v>
      </c>
      <c r="B18" s="8">
        <f t="shared" si="9"/>
        <v>45849</v>
      </c>
      <c r="C18" s="9" t="str" cm="1">
        <f t="array" ref="C18">_xlfn.XLOOKUP(E18,Masterdata!$B$31:$B$44,Masterdata!$A$31:$A$44,_xlfn.SWITCH(WEEKDAY($D18, 2), 1, "Monday", 2, "Tuesday", 3, "Wednesday", 4, "Thursday", 5, "Friday", 6, "Saturday", 7, "Sunday"),0)</f>
        <v>Friday</v>
      </c>
      <c r="D18" s="30">
        <f t="shared" si="0"/>
        <v>6</v>
      </c>
      <c r="E18" s="72">
        <f t="shared" si="2"/>
        <v>45849</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0.30833333333333335</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73" t="str">
        <f t="shared" si="4"/>
        <v>0</v>
      </c>
      <c r="N18" s="25" t="str">
        <f t="shared" si="5"/>
        <v>0:</v>
      </c>
      <c r="O18" s="56" t="str">
        <f t="shared" si="6"/>
        <v>0</v>
      </c>
      <c r="P18" s="57">
        <f t="shared" si="10"/>
        <v>0</v>
      </c>
      <c r="Q18" s="31">
        <f t="shared" si="11"/>
        <v>0</v>
      </c>
      <c r="R18" s="100"/>
      <c r="S18" s="100"/>
      <c r="T18" s="30"/>
      <c r="U18" s="30"/>
      <c r="V18" s="72"/>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15.75" x14ac:dyDescent="0.25">
      <c r="A19" s="7">
        <f t="shared" si="1"/>
        <v>28</v>
      </c>
      <c r="B19" s="8">
        <f t="shared" si="9"/>
        <v>45850</v>
      </c>
      <c r="C19" s="9" t="str" cm="1">
        <f t="array" ref="C19">_xlfn.XLOOKUP(E19,Masterdata!$B$31:$B$44,Masterdata!$A$31:$A$44,_xlfn.SWITCH(WEEKDAY($D19, 2), 1, "Monday", 2, "Tuesday", 3, "Wednesday", 4, "Thursday", 5, "Friday", 6, "Saturday", 7, "Sunday"),0)</f>
        <v>Saturday</v>
      </c>
      <c r="D19" s="30">
        <f t="shared" si="0"/>
        <v>7</v>
      </c>
      <c r="E19" s="72">
        <f t="shared" si="2"/>
        <v>45850</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73" t="str">
        <f t="shared" si="4"/>
        <v>0</v>
      </c>
      <c r="N19" s="25" t="str">
        <f t="shared" si="5"/>
        <v>0:</v>
      </c>
      <c r="O19" s="56" t="str">
        <f t="shared" si="6"/>
        <v>0</v>
      </c>
      <c r="P19" s="57">
        <f t="shared" si="10"/>
        <v>0</v>
      </c>
      <c r="Q19" s="31">
        <f t="shared" si="11"/>
        <v>0</v>
      </c>
      <c r="R19" s="100"/>
      <c r="S19" s="10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75" x14ac:dyDescent="0.25">
      <c r="A20" s="7">
        <f t="shared" si="1"/>
        <v>28</v>
      </c>
      <c r="B20" s="8">
        <f t="shared" si="9"/>
        <v>45851</v>
      </c>
      <c r="C20" s="9" t="str" cm="1">
        <f t="array" ref="C20">_xlfn.XLOOKUP(E20,Masterdata!$B$31:$B$44,Masterdata!$A$31:$A$44,_xlfn.SWITCH(WEEKDAY($D20, 2), 1, "Monday", 2, "Tuesday", 3, "Wednesday", 4, "Thursday", 5, "Friday", 6, "Saturday", 7, "Sunday"),0)</f>
        <v>Sunday</v>
      </c>
      <c r="D20" s="30">
        <f t="shared" si="0"/>
        <v>8</v>
      </c>
      <c r="E20" s="72">
        <f t="shared" si="2"/>
        <v>45851</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73" t="str">
        <f>LEFT(L20,1)</f>
        <v>0</v>
      </c>
      <c r="N20" s="25" t="str">
        <f t="shared" si="5"/>
        <v>0:</v>
      </c>
      <c r="O20" s="56" t="str">
        <f t="shared" si="6"/>
        <v>0</v>
      </c>
      <c r="P20" s="57">
        <f t="shared" si="10"/>
        <v>0</v>
      </c>
      <c r="Q20" s="31">
        <f>IF(M20="-",N20-P20,N20+P20)</f>
        <v>0</v>
      </c>
      <c r="R20" s="100"/>
      <c r="S20" s="10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15.75" x14ac:dyDescent="0.25">
      <c r="A21" s="7">
        <f t="shared" si="1"/>
        <v>29</v>
      </c>
      <c r="B21" s="8">
        <f t="shared" si="9"/>
        <v>45852</v>
      </c>
      <c r="C21" s="9" t="str" cm="1">
        <f t="array" ref="C21">_xlfn.XLOOKUP(E21,Masterdata!$B$31:$B$44,Masterdata!$A$31:$A$44,_xlfn.SWITCH(WEEKDAY($D21, 2), 1, "Monday", 2, "Tuesday", 3, "Wednesday", 4, "Thursday", 5, "Friday", 6, "Saturday", 7, "Sunday"),0)</f>
        <v>Monday</v>
      </c>
      <c r="D21" s="30">
        <f t="shared" si="0"/>
        <v>2</v>
      </c>
      <c r="E21" s="72">
        <f t="shared" si="2"/>
        <v>45852</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0.30833333333333335</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73" t="str">
        <f t="shared" ref="M21:M38" si="12">LEFT(L21,1)</f>
        <v>0</v>
      </c>
      <c r="N21" s="25" t="str">
        <f t="shared" si="5"/>
        <v>0:</v>
      </c>
      <c r="O21" s="56" t="str">
        <f t="shared" si="6"/>
        <v>0</v>
      </c>
      <c r="P21" s="57">
        <f t="shared" si="10"/>
        <v>0</v>
      </c>
      <c r="Q21" s="31">
        <f t="shared" ref="Q21:Q38" si="13">IF(M21="-",N21-P21,N21+P21)</f>
        <v>0</v>
      </c>
      <c r="R21" s="100"/>
      <c r="S21" s="10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ht="15.75" x14ac:dyDescent="0.25">
      <c r="A22" s="7">
        <f t="shared" si="1"/>
        <v>29</v>
      </c>
      <c r="B22" s="8">
        <f t="shared" si="9"/>
        <v>45853</v>
      </c>
      <c r="C22" s="9" t="str" cm="1">
        <f t="array" ref="C22">_xlfn.XLOOKUP(E22,Masterdata!$B$31:$B$44,Masterdata!$A$31:$A$44,_xlfn.SWITCH(WEEKDAY($D22, 2), 1, "Monday", 2, "Tuesday", 3, "Wednesday", 4, "Thursday", 5, "Friday", 6, "Saturday", 7, "Sunday"),0)</f>
        <v>Tuesday</v>
      </c>
      <c r="D22" s="30">
        <f t="shared" si="0"/>
        <v>3</v>
      </c>
      <c r="E22" s="72">
        <f t="shared" si="2"/>
        <v>45853</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0.30833333333333335</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73" t="str">
        <f t="shared" si="12"/>
        <v>0</v>
      </c>
      <c r="N22" s="25" t="str">
        <f t="shared" si="5"/>
        <v>0:</v>
      </c>
      <c r="O22" s="56" t="str">
        <f t="shared" si="6"/>
        <v>0</v>
      </c>
      <c r="P22" s="57">
        <f t="shared" si="10"/>
        <v>0</v>
      </c>
      <c r="Q22" s="31">
        <f t="shared" si="13"/>
        <v>0</v>
      </c>
      <c r="R22" s="100"/>
      <c r="S22" s="10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5.75" x14ac:dyDescent="0.25">
      <c r="A23" s="7">
        <f t="shared" si="1"/>
        <v>29</v>
      </c>
      <c r="B23" s="8">
        <f t="shared" si="9"/>
        <v>45854</v>
      </c>
      <c r="C23" s="9" t="str" cm="1">
        <f t="array" ref="C23">_xlfn.XLOOKUP(E23,Masterdata!$B$31:$B$44,Masterdata!$A$31:$A$44,_xlfn.SWITCH(WEEKDAY($D23, 2), 1, "Monday", 2, "Tuesday", 3, "Wednesday", 4, "Thursday", 5, "Friday", 6, "Saturday", 7, "Sunday"),0)</f>
        <v>Wednesday</v>
      </c>
      <c r="D23" s="30">
        <f t="shared" si="0"/>
        <v>4</v>
      </c>
      <c r="E23" s="72">
        <f t="shared" si="2"/>
        <v>45854</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0.30833333333333335</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73" t="str">
        <f t="shared" si="12"/>
        <v>0</v>
      </c>
      <c r="N23" s="25" t="str">
        <f t="shared" si="5"/>
        <v>0:</v>
      </c>
      <c r="O23" s="56" t="str">
        <f t="shared" si="6"/>
        <v>0</v>
      </c>
      <c r="P23" s="57">
        <f t="shared" si="10"/>
        <v>0</v>
      </c>
      <c r="Q23" s="31">
        <f t="shared" si="13"/>
        <v>0</v>
      </c>
      <c r="R23" s="100"/>
      <c r="S23" s="10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15.75" x14ac:dyDescent="0.25">
      <c r="A24" s="7">
        <f t="shared" si="1"/>
        <v>29</v>
      </c>
      <c r="B24" s="8">
        <f t="shared" si="9"/>
        <v>45855</v>
      </c>
      <c r="C24" s="9" t="str" cm="1">
        <f t="array" ref="C24">_xlfn.XLOOKUP(E24,Masterdata!$B$31:$B$44,Masterdata!$A$31:$A$44,_xlfn.SWITCH(WEEKDAY($D24, 2), 1, "Monday", 2, "Tuesday", 3, "Wednesday", 4, "Thursday", 5, "Friday", 6, "Saturday", 7, "Sunday"),0)</f>
        <v>Thursday</v>
      </c>
      <c r="D24" s="30">
        <f t="shared" si="0"/>
        <v>5</v>
      </c>
      <c r="E24" s="72">
        <f t="shared" si="2"/>
        <v>45855</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0.30833333333333335</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73" t="str">
        <f t="shared" si="12"/>
        <v>0</v>
      </c>
      <c r="N24" s="25" t="str">
        <f t="shared" si="5"/>
        <v>0:</v>
      </c>
      <c r="O24" s="56" t="str">
        <f t="shared" si="6"/>
        <v>0</v>
      </c>
      <c r="P24" s="57">
        <f t="shared" si="10"/>
        <v>0</v>
      </c>
      <c r="Q24" s="31">
        <f t="shared" si="13"/>
        <v>0</v>
      </c>
      <c r="R24" s="100"/>
      <c r="S24" s="10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5.75" x14ac:dyDescent="0.25">
      <c r="A25" s="7">
        <f t="shared" si="1"/>
        <v>29</v>
      </c>
      <c r="B25" s="8">
        <f t="shared" si="9"/>
        <v>45856</v>
      </c>
      <c r="C25" s="9" t="str" cm="1">
        <f t="array" ref="C25">_xlfn.XLOOKUP(E25,Masterdata!$B$31:$B$44,Masterdata!$A$31:$A$44,_xlfn.SWITCH(WEEKDAY($D25, 2), 1, "Monday", 2, "Tuesday", 3, "Wednesday", 4, "Thursday", 5, "Friday", 6, "Saturday", 7, "Sunday"),0)</f>
        <v>Friday</v>
      </c>
      <c r="D25" s="30">
        <f t="shared" si="0"/>
        <v>6</v>
      </c>
      <c r="E25" s="72">
        <f t="shared" si="2"/>
        <v>45856</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0.30833333333333335</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73" t="str">
        <f t="shared" si="12"/>
        <v>0</v>
      </c>
      <c r="N25" s="25" t="str">
        <f t="shared" si="5"/>
        <v>0:</v>
      </c>
      <c r="O25" s="56" t="str">
        <f t="shared" si="6"/>
        <v>0</v>
      </c>
      <c r="P25" s="57">
        <f t="shared" si="10"/>
        <v>0</v>
      </c>
      <c r="Q25" s="31">
        <f t="shared" si="13"/>
        <v>0</v>
      </c>
      <c r="R25" s="100"/>
      <c r="S25" s="10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ht="15.75" x14ac:dyDescent="0.25">
      <c r="A26" s="7">
        <f t="shared" si="1"/>
        <v>29</v>
      </c>
      <c r="B26" s="8">
        <f t="shared" si="9"/>
        <v>45857</v>
      </c>
      <c r="C26" s="9" t="str" cm="1">
        <f t="array" ref="C26">_xlfn.XLOOKUP(E26,Masterdata!$B$31:$B$44,Masterdata!$A$31:$A$44,_xlfn.SWITCH(WEEKDAY($D26, 2), 1, "Monday", 2, "Tuesday", 3, "Wednesday", 4, "Thursday", 5, "Friday", 6, "Saturday", 7, "Sunday"),0)</f>
        <v>Saturday</v>
      </c>
      <c r="D26" s="30">
        <f t="shared" si="0"/>
        <v>7</v>
      </c>
      <c r="E26" s="72">
        <f t="shared" si="2"/>
        <v>45857</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73" t="str">
        <f t="shared" si="12"/>
        <v>0</v>
      </c>
      <c r="N26" s="25" t="str">
        <f t="shared" si="5"/>
        <v>0:</v>
      </c>
      <c r="O26" s="56" t="str">
        <f t="shared" si="6"/>
        <v>0</v>
      </c>
      <c r="P26" s="57">
        <f t="shared" si="10"/>
        <v>0</v>
      </c>
      <c r="Q26" s="31">
        <f t="shared" si="13"/>
        <v>0</v>
      </c>
      <c r="R26" s="100"/>
      <c r="S26" s="10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5.75" x14ac:dyDescent="0.25">
      <c r="A27" s="7">
        <f t="shared" si="1"/>
        <v>29</v>
      </c>
      <c r="B27" s="8">
        <f t="shared" si="9"/>
        <v>45858</v>
      </c>
      <c r="C27" s="9" t="str" cm="1">
        <f t="array" ref="C27">_xlfn.XLOOKUP(E27,Masterdata!$B$31:$B$44,Masterdata!$A$31:$A$44,_xlfn.SWITCH(WEEKDAY($D27, 2), 1, "Monday", 2, "Tuesday", 3, "Wednesday", 4, "Thursday", 5, "Friday", 6, "Saturday", 7, "Sunday"),0)</f>
        <v>Sunday</v>
      </c>
      <c r="D27" s="30">
        <f t="shared" si="0"/>
        <v>8</v>
      </c>
      <c r="E27" s="72">
        <f t="shared" si="2"/>
        <v>45858</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73" t="str">
        <f t="shared" si="12"/>
        <v>0</v>
      </c>
      <c r="N27" s="25" t="str">
        <f t="shared" si="5"/>
        <v>0:</v>
      </c>
      <c r="O27" s="56" t="str">
        <f t="shared" si="6"/>
        <v>0</v>
      </c>
      <c r="P27" s="57">
        <f t="shared" si="10"/>
        <v>0</v>
      </c>
      <c r="Q27" s="31">
        <f t="shared" si="13"/>
        <v>0</v>
      </c>
      <c r="R27" s="100"/>
      <c r="S27" s="10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ht="15.75" x14ac:dyDescent="0.25">
      <c r="A28" s="7">
        <f t="shared" si="1"/>
        <v>30</v>
      </c>
      <c r="B28" s="8">
        <f t="shared" si="9"/>
        <v>45859</v>
      </c>
      <c r="C28" s="9" t="str" cm="1">
        <f t="array" ref="C28">_xlfn.XLOOKUP(E28,Masterdata!$B$31:$B$44,Masterdata!$A$31:$A$44,_xlfn.SWITCH(WEEKDAY($D28, 2), 1, "Monday", 2, "Tuesday", 3, "Wednesday", 4, "Thursday", 5, "Friday", 6, "Saturday", 7, "Sunday"),0)</f>
        <v>Monday</v>
      </c>
      <c r="D28" s="30">
        <f t="shared" si="0"/>
        <v>2</v>
      </c>
      <c r="E28" s="72">
        <f t="shared" si="2"/>
        <v>45859</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0.30833333333333335</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73" t="str">
        <f t="shared" si="12"/>
        <v>0</v>
      </c>
      <c r="N28" s="25" t="str">
        <f t="shared" si="5"/>
        <v>0:</v>
      </c>
      <c r="O28" s="56" t="str">
        <f t="shared" si="6"/>
        <v>0</v>
      </c>
      <c r="P28" s="57">
        <f t="shared" si="10"/>
        <v>0</v>
      </c>
      <c r="Q28" s="31">
        <f t="shared" si="13"/>
        <v>0</v>
      </c>
      <c r="R28" s="100"/>
      <c r="S28" s="10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5.75" x14ac:dyDescent="0.25">
      <c r="A29" s="7">
        <f t="shared" si="1"/>
        <v>30</v>
      </c>
      <c r="B29" s="8">
        <f t="shared" si="9"/>
        <v>45860</v>
      </c>
      <c r="C29" s="9" t="str" cm="1">
        <f t="array" ref="C29">_xlfn.XLOOKUP(E29,Masterdata!$B$31:$B$44,Masterdata!$A$31:$A$44,_xlfn.SWITCH(WEEKDAY($D29, 2), 1, "Monday", 2, "Tuesday", 3, "Wednesday", 4, "Thursday", 5, "Friday", 6, "Saturday", 7, "Sunday"),0)</f>
        <v>Tuesday</v>
      </c>
      <c r="D29" s="30">
        <f t="shared" si="0"/>
        <v>3</v>
      </c>
      <c r="E29" s="72">
        <f t="shared" si="2"/>
        <v>45860</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0.30833333333333335</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73" t="str">
        <f t="shared" si="12"/>
        <v>0</v>
      </c>
      <c r="N29" s="25" t="str">
        <f t="shared" si="5"/>
        <v>0:</v>
      </c>
      <c r="O29" s="56" t="str">
        <f t="shared" si="6"/>
        <v>0</v>
      </c>
      <c r="P29" s="57">
        <f t="shared" si="10"/>
        <v>0</v>
      </c>
      <c r="Q29" s="31">
        <f t="shared" si="13"/>
        <v>0</v>
      </c>
      <c r="R29" s="100"/>
      <c r="S29" s="10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ht="15.75" x14ac:dyDescent="0.25">
      <c r="A30" s="7">
        <f t="shared" si="1"/>
        <v>30</v>
      </c>
      <c r="B30" s="8">
        <f t="shared" si="9"/>
        <v>45861</v>
      </c>
      <c r="C30" s="9" t="str" cm="1">
        <f t="array" ref="C30">_xlfn.XLOOKUP(E30,Masterdata!$B$31:$B$44,Masterdata!$A$31:$A$44,_xlfn.SWITCH(WEEKDAY($D30, 2), 1, "Monday", 2, "Tuesday", 3, "Wednesday", 4, "Thursday", 5, "Friday", 6, "Saturday", 7, "Sunday"),0)</f>
        <v>Wednesday</v>
      </c>
      <c r="D30" s="30">
        <f t="shared" si="0"/>
        <v>4</v>
      </c>
      <c r="E30" s="72">
        <f t="shared" si="2"/>
        <v>45861</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0.30833333333333335</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73" t="str">
        <f t="shared" si="12"/>
        <v>0</v>
      </c>
      <c r="N30" s="25" t="str">
        <f t="shared" si="5"/>
        <v>0:</v>
      </c>
      <c r="O30" s="56" t="str">
        <f t="shared" si="6"/>
        <v>0</v>
      </c>
      <c r="P30" s="57">
        <f t="shared" si="10"/>
        <v>0</v>
      </c>
      <c r="Q30" s="31">
        <f t="shared" si="13"/>
        <v>0</v>
      </c>
      <c r="R30" s="100"/>
      <c r="S30" s="10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5.75" x14ac:dyDescent="0.25">
      <c r="A31" s="7">
        <f t="shared" si="1"/>
        <v>30</v>
      </c>
      <c r="B31" s="8">
        <f t="shared" si="9"/>
        <v>45862</v>
      </c>
      <c r="C31" s="9" t="str" cm="1">
        <f t="array" ref="C31">_xlfn.XLOOKUP(E31,Masterdata!$B$31:$B$44,Masterdata!$A$31:$A$44,_xlfn.SWITCH(WEEKDAY($D31, 2), 1, "Monday", 2, "Tuesday", 3, "Wednesday", 4, "Thursday", 5, "Friday", 6, "Saturday", 7, "Sunday"),0)</f>
        <v>Thursday</v>
      </c>
      <c r="D31" s="30">
        <f t="shared" si="0"/>
        <v>5</v>
      </c>
      <c r="E31" s="72">
        <f t="shared" si="2"/>
        <v>45862</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0.30833333333333335</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73" t="str">
        <f t="shared" si="12"/>
        <v>0</v>
      </c>
      <c r="N31" s="25" t="str">
        <f t="shared" si="5"/>
        <v>0:</v>
      </c>
      <c r="O31" s="56" t="str">
        <f t="shared" si="6"/>
        <v>0</v>
      </c>
      <c r="P31" s="57">
        <f t="shared" si="10"/>
        <v>0</v>
      </c>
      <c r="Q31" s="31">
        <f t="shared" si="13"/>
        <v>0</v>
      </c>
      <c r="R31" s="100"/>
      <c r="S31" s="10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15.75" x14ac:dyDescent="0.25">
      <c r="A32" s="7">
        <f t="shared" si="1"/>
        <v>30</v>
      </c>
      <c r="B32" s="8">
        <f t="shared" si="9"/>
        <v>45863</v>
      </c>
      <c r="C32" s="9" t="str" cm="1">
        <f t="array" ref="C32">_xlfn.XLOOKUP(E32,Masterdata!$B$31:$B$44,Masterdata!$A$31:$A$44,_xlfn.SWITCH(WEEKDAY($D32, 2), 1, "Monday", 2, "Tuesday", 3, "Wednesday", 4, "Thursday", 5, "Friday", 6, "Saturday", 7, "Sunday"),0)</f>
        <v>Friday</v>
      </c>
      <c r="D32" s="30">
        <f t="shared" si="0"/>
        <v>6</v>
      </c>
      <c r="E32" s="72">
        <f t="shared" si="2"/>
        <v>45863</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0.30833333333333335</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73" t="str">
        <f t="shared" si="12"/>
        <v>0</v>
      </c>
      <c r="N32" s="25" t="str">
        <f t="shared" si="5"/>
        <v>0:</v>
      </c>
      <c r="O32" s="56" t="str">
        <f t="shared" si="6"/>
        <v>0</v>
      </c>
      <c r="P32" s="57">
        <f t="shared" si="10"/>
        <v>0</v>
      </c>
      <c r="Q32" s="31">
        <f t="shared" si="13"/>
        <v>0</v>
      </c>
      <c r="R32" s="100"/>
      <c r="S32" s="10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5.75" x14ac:dyDescent="0.25">
      <c r="A33" s="7">
        <f t="shared" si="1"/>
        <v>30</v>
      </c>
      <c r="B33" s="8">
        <f t="shared" si="9"/>
        <v>45864</v>
      </c>
      <c r="C33" s="9" t="str" cm="1">
        <f t="array" ref="C33">_xlfn.XLOOKUP(E33,Masterdata!$B$31:$B$44,Masterdata!$A$31:$A$44,_xlfn.SWITCH(WEEKDAY($D33, 2), 1, "Monday", 2, "Tuesday", 3, "Wednesday", 4, "Thursday", 5, "Friday", 6, "Saturday", 7, "Sunday"),0)</f>
        <v>Saturday</v>
      </c>
      <c r="D33" s="30">
        <f t="shared" si="0"/>
        <v>7</v>
      </c>
      <c r="E33" s="72">
        <f t="shared" si="2"/>
        <v>45864</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73" t="str">
        <f t="shared" si="12"/>
        <v>0</v>
      </c>
      <c r="N33" s="25" t="str">
        <f t="shared" si="5"/>
        <v>0:</v>
      </c>
      <c r="O33" s="56" t="str">
        <f t="shared" si="6"/>
        <v>0</v>
      </c>
      <c r="P33" s="57">
        <f t="shared" si="10"/>
        <v>0</v>
      </c>
      <c r="Q33" s="31">
        <f t="shared" si="13"/>
        <v>0</v>
      </c>
      <c r="R33" s="100"/>
      <c r="S33" s="10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15.75" x14ac:dyDescent="0.25">
      <c r="A34" s="7">
        <f t="shared" si="1"/>
        <v>30</v>
      </c>
      <c r="B34" s="8">
        <f t="shared" si="9"/>
        <v>45865</v>
      </c>
      <c r="C34" s="9" t="str" cm="1">
        <f t="array" ref="C34">_xlfn.XLOOKUP(E34,Masterdata!$B$31:$B$44,Masterdata!$A$31:$A$44,_xlfn.SWITCH(WEEKDAY($D34, 2), 1, "Monday", 2, "Tuesday", 3, "Wednesday", 4, "Thursday", 5, "Friday", 6, "Saturday", 7, "Sunday"),0)</f>
        <v>Sunday</v>
      </c>
      <c r="D34" s="30">
        <f t="shared" si="0"/>
        <v>8</v>
      </c>
      <c r="E34" s="72">
        <f t="shared" si="2"/>
        <v>45865</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73" t="str">
        <f t="shared" si="12"/>
        <v>0</v>
      </c>
      <c r="N34" s="25" t="str">
        <f t="shared" si="5"/>
        <v>0:</v>
      </c>
      <c r="O34" s="56" t="str">
        <f t="shared" si="6"/>
        <v>0</v>
      </c>
      <c r="P34" s="57">
        <f t="shared" si="10"/>
        <v>0</v>
      </c>
      <c r="Q34" s="31">
        <f t="shared" si="13"/>
        <v>0</v>
      </c>
      <c r="R34" s="100"/>
      <c r="S34" s="10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5.75" x14ac:dyDescent="0.25">
      <c r="A35" s="7">
        <f t="shared" si="1"/>
        <v>31</v>
      </c>
      <c r="B35" s="8">
        <f t="shared" si="9"/>
        <v>45866</v>
      </c>
      <c r="C35" s="9" t="str" cm="1">
        <f t="array" ref="C35">_xlfn.XLOOKUP(E35,Masterdata!$B$31:$B$44,Masterdata!$A$31:$A$44,_xlfn.SWITCH(WEEKDAY($D35, 2), 1, "Monday", 2, "Tuesday", 3, "Wednesday", 4, "Thursday", 5, "Friday", 6, "Saturday", 7, "Sunday"),0)</f>
        <v>Monday</v>
      </c>
      <c r="D35" s="30">
        <f t="shared" si="0"/>
        <v>2</v>
      </c>
      <c r="E35" s="72">
        <f t="shared" si="2"/>
        <v>45866</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0.30833333333333335</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73" t="str">
        <f t="shared" si="12"/>
        <v>0</v>
      </c>
      <c r="N35" s="25" t="str">
        <f t="shared" si="5"/>
        <v>0:</v>
      </c>
      <c r="O35" s="56" t="str">
        <f t="shared" si="6"/>
        <v>0</v>
      </c>
      <c r="P35" s="57">
        <f t="shared" si="10"/>
        <v>0</v>
      </c>
      <c r="Q35" s="31">
        <f t="shared" si="13"/>
        <v>0</v>
      </c>
      <c r="R35" s="100"/>
      <c r="S35" s="10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15.75" x14ac:dyDescent="0.25">
      <c r="A36" s="7">
        <f t="shared" si="1"/>
        <v>31</v>
      </c>
      <c r="B36" s="8">
        <f t="shared" si="9"/>
        <v>45867</v>
      </c>
      <c r="C36" s="9" t="str" cm="1">
        <f t="array" ref="C36">_xlfn.XLOOKUP(E36,Masterdata!$B$31:$B$44,Masterdata!$A$31:$A$44,_xlfn.SWITCH(WEEKDAY($D36, 2), 1, "Monday", 2, "Tuesday", 3, "Wednesday", 4, "Thursday", 5, "Friday", 6, "Saturday", 7, "Sunday"),0)</f>
        <v>Tuesday</v>
      </c>
      <c r="D36" s="30">
        <f t="shared" si="0"/>
        <v>3</v>
      </c>
      <c r="E36" s="72">
        <f t="shared" si="2"/>
        <v>45867</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0.30833333333333335</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73" t="str">
        <f t="shared" si="12"/>
        <v>0</v>
      </c>
      <c r="N36" s="25" t="str">
        <f t="shared" si="5"/>
        <v>0:</v>
      </c>
      <c r="O36" s="56" t="str">
        <f t="shared" si="6"/>
        <v>0</v>
      </c>
      <c r="P36" s="57">
        <f t="shared" si="10"/>
        <v>0</v>
      </c>
      <c r="Q36" s="31">
        <f t="shared" si="13"/>
        <v>0</v>
      </c>
      <c r="R36" s="100"/>
      <c r="S36" s="10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ht="15.75" x14ac:dyDescent="0.25">
      <c r="A37" s="7">
        <f t="shared" si="1"/>
        <v>31</v>
      </c>
      <c r="B37" s="8">
        <f t="shared" si="9"/>
        <v>45868</v>
      </c>
      <c r="C37" s="9" t="str" cm="1">
        <f t="array" ref="C37">_xlfn.XLOOKUP(E37,Masterdata!$B$31:$B$44,Masterdata!$A$31:$A$44,_xlfn.SWITCH(WEEKDAY($D37, 2), 1, "Monday", 2, "Tuesday", 3, "Wednesday", 4, "Thursday", 5, "Friday", 6, "Saturday", 7, "Sunday"),0)</f>
        <v>Wednesday</v>
      </c>
      <c r="D37" s="30">
        <f t="shared" si="0"/>
        <v>4</v>
      </c>
      <c r="E37" s="72">
        <f t="shared" si="2"/>
        <v>45868</v>
      </c>
      <c r="F37" s="10" t="s">
        <v>18</v>
      </c>
      <c r="G37" s="12">
        <f>IF(AND(F37="N",NOT(OR($C37="Monday", $C37="Tuesday",$C37="Wednesday",$C37="Thursday",$C37="Friday"))),0,IFERROR(
    IF($F37="N", $W$9,
        IF(OR(
            AND(Masterdata!$B$4&lt;&gt;DATE(1900,1,0), Masterdata!$B$4&lt;$E37),
            AND(Masterdata!$B$3&lt;&gt;DATE(1900,1,0), Masterdata!$B$3&gt;$E37)
        ),
        IF($H37&gt;=TIME(0,0,0), "Type in next cell", 0),
        IF($H37&gt;=TIME(0,0,0), "Type in next cell",
            IF($H37&gt;=0, 0,
                IF(NOT(OR($C37="Monday", $C37="Tuesday",$C37="Wednesday",$C37="Thursday",$C37="Friday")), 0, 0)
            )
        )
    )),
"Type in next cell"))</f>
        <v>0.30833333333333335</v>
      </c>
      <c r="H37" s="11">
        <v>0</v>
      </c>
      <c r="I37" s="11">
        <v>0</v>
      </c>
      <c r="J37" s="11">
        <v>0</v>
      </c>
      <c r="K37" s="27" t="str">
        <f t="shared" si="3"/>
        <v>00:00</v>
      </c>
      <c r="L37" s="27" t="str">
        <f>IF(F37="N","0:00",IF(
OR(
AND(Masterdata!$B$4&lt;&gt;DATE(1900,1,0),Masterdata!$B$4&lt;$E37),
AND(Masterdata!$B$3&lt;&gt;DATE(1900,1,0),Masterdata!$B$3&gt;$E37)
),
"0:00",
IF(
$H37&gt;TIME(0,0,0),
IF(
NOT(OR($C37="Monday", $C37="Tuesday",$C37="Wednesday",$C37="Thursday",$C37="Friday")),
TEXT($H37,"[tt]:mm"),
IF($H37-$W$9&gt;=0,TEXT($H37-$W$9,"[tt]:mm"),"-"&amp;TEXT(ABS($H37-$W$9),"[tt]:mm"))
),
IF(
NOT(OR($C37="Monday", $C37="Tuesday",$C37="Wednesday",$C37="Thursday",$C37="Friday")),
IF($J37-$I37&gt;=0,TEXT($J37-$I37,"[tt]:mm"),"-"&amp;TEXT(ABS($J37-$I37),"[tt]:mm")),
IFERROR(
IF($G37-$W$9=0,
IF($G37-$W$9&gt;=0,TEXT($G37-$W$9,"[tt]:mm"),"-"&amp;TEXT(ABS($G37-$W$9),"[tt]:mm")),
IF($J37-$I37&gt;=0,TEXT($J37-$I37,"[tt]:mm"),"-"&amp;TEXT(ABS($J37-$I37),"[tt]:mm"))
),
IF(
$J37-$I37-$W$9&gt;=0,
TEXT($J37-$I37-$W$9,"[tt]:mm"),
"-"&amp;TEXT(ABS($J37-$I37-$W$9),"[tt]:mm")
)
)
)
)
))</f>
        <v>0:00</v>
      </c>
      <c r="M37" s="73" t="str">
        <f t="shared" si="12"/>
        <v>0</v>
      </c>
      <c r="N37" s="25" t="str">
        <f t="shared" si="5"/>
        <v>0:</v>
      </c>
      <c r="O37" s="56" t="str">
        <f t="shared" si="6"/>
        <v>0</v>
      </c>
      <c r="P37" s="57">
        <f t="shared" si="10"/>
        <v>0</v>
      </c>
      <c r="Q37" s="31">
        <f t="shared" si="13"/>
        <v>0</v>
      </c>
      <c r="R37" s="100"/>
      <c r="S37" s="10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15.75" x14ac:dyDescent="0.25">
      <c r="A38" s="7">
        <f t="shared" si="1"/>
        <v>31</v>
      </c>
      <c r="B38" s="8">
        <f t="shared" si="9"/>
        <v>45869</v>
      </c>
      <c r="C38" s="9" t="str" cm="1">
        <f t="array" ref="C38">_xlfn.XLOOKUP(E38,Masterdata!$B$31:$B$44,Masterdata!$A$31:$A$44,_xlfn.SWITCH(WEEKDAY($D38, 2), 1, "Monday", 2, "Tuesday", 3, "Wednesday", 4, "Thursday", 5, "Friday", 6, "Saturday", 7, "Sunday"),0)</f>
        <v>Thursday</v>
      </c>
      <c r="D38" s="30">
        <f t="shared" si="0"/>
        <v>5</v>
      </c>
      <c r="E38" s="72">
        <f t="shared" si="2"/>
        <v>45869</v>
      </c>
      <c r="F38" s="10" t="s">
        <v>18</v>
      </c>
      <c r="G38" s="12">
        <f>IF(AND(F38="N",NOT(OR($C38="Monday", $C38="Tuesday",$C38="Wednesday",$C38="Thursday",$C38="Friday"))),0,IFERROR(
    IF($F38="N", $W$9,
        IF(OR(
            AND(Masterdata!$B$4&lt;&gt;DATE(1900,1,0), Masterdata!$B$4&lt;$E38),
            AND(Masterdata!$B$3&lt;&gt;DATE(1900,1,0), Masterdata!$B$3&gt;$E38)
        ),
        IF($H38&gt;=TIME(0,0,0), "Type in next cell", 0),
        IF($H38&gt;=TIME(0,0,0), "Type in next cell",
            IF($H38&gt;=0, 0,
                IF(NOT(OR($C38="Monday", $C38="Tuesday",$C38="Wednesday",$C38="Thursday",$C38="Friday")), 0, 0)
            )
        )
    )),
"Type in next cell"))</f>
        <v>0.30833333333333335</v>
      </c>
      <c r="H38" s="11">
        <v>0</v>
      </c>
      <c r="I38" s="11">
        <v>0</v>
      </c>
      <c r="J38" s="11">
        <v>0</v>
      </c>
      <c r="K38" s="27" t="str">
        <f t="shared" si="3"/>
        <v>00:00</v>
      </c>
      <c r="L38" s="27" t="str">
        <f>IF(F38="N","0:00",IF(
OR(
AND(Masterdata!$B$4&lt;&gt;DATE(1900,1,0),Masterdata!$B$4&lt;$E38),
AND(Masterdata!$B$3&lt;&gt;DATE(1900,1,0),Masterdata!$B$3&gt;$E38)
),
"0:00",
IF(
$H38&gt;TIME(0,0,0),
IF(
NOT(OR($C38="Monday", $C38="Tuesday",$C38="Wednesday",$C38="Thursday",$C38="Friday")),
TEXT($H38,"[tt]:mm"),
IF($H38-$W$9&gt;=0,TEXT($H38-$W$9,"[tt]:mm"),"-"&amp;TEXT(ABS($H38-$W$9),"[tt]:mm"))
),
IF(
NOT(OR($C38="Monday", $C38="Tuesday",$C38="Wednesday",$C38="Thursday",$C38="Friday")),
IF($J38-$I38&gt;=0,TEXT($J38-$I38,"[tt]:mm"),"-"&amp;TEXT(ABS($J38-$I38),"[tt]:mm")),
IFERROR(
IF($G38-$W$9=0,
IF($G38-$W$9&gt;=0,TEXT($G38-$W$9,"[tt]:mm"),"-"&amp;TEXT(ABS($G38-$W$9),"[tt]:mm")),
IF($J38-$I38&gt;=0,TEXT($J38-$I38,"[tt]:mm"),"-"&amp;TEXT(ABS($J38-$I38),"[tt]:mm"))
),
IF(
$J38-$I38-$W$9&gt;=0,
TEXT($J38-$I38-$W$9,"[tt]:mm"),
"-"&amp;TEXT(ABS($J38-$I38-$W$9),"[tt]:mm")
)
)
)
)
))</f>
        <v>0:00</v>
      </c>
      <c r="M38" s="73" t="str">
        <f t="shared" si="12"/>
        <v>0</v>
      </c>
      <c r="N38" s="25" t="str">
        <f t="shared" si="5"/>
        <v>0:</v>
      </c>
      <c r="O38" s="56" t="str">
        <f t="shared" si="6"/>
        <v>0</v>
      </c>
      <c r="P38" s="57">
        <f t="shared" si="10"/>
        <v>0</v>
      </c>
      <c r="Q38" s="31">
        <f t="shared" si="13"/>
        <v>0</v>
      </c>
      <c r="R38" s="100"/>
      <c r="S38" s="10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5.75" x14ac:dyDescent="0.25">
      <c r="A39" s="30"/>
      <c r="B39" s="30"/>
      <c r="C39" s="30"/>
      <c r="D39" s="30"/>
      <c r="E39" s="30"/>
      <c r="F39" s="30"/>
      <c r="G39" s="30"/>
      <c r="H39" s="30"/>
      <c r="I39" s="30"/>
      <c r="J39" s="30"/>
      <c r="K39" s="30"/>
      <c r="L39" s="75"/>
      <c r="M39" s="30"/>
      <c r="N39" s="30"/>
      <c r="O39" s="30"/>
      <c r="P39" s="30"/>
      <c r="Q39" s="31">
        <f>SUM(Q8:Q38)</f>
        <v>0</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15.7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5.7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15.7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ht="15.7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ht="15.7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ht="15.7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ht="15.7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row>
    <row r="50" spans="1:44" ht="15.7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ht="15.7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7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1:44" ht="15.7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44" ht="15.7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ht="15.7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44" ht="15.7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ht="15.7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ht="15.7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ht="15.7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ht="15.7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ht="15.7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ht="15.7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15.7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row>
    <row r="64" spans="1:44" ht="15.7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row>
    <row r="65" spans="1:44" ht="15.7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15.7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5.7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row>
    <row r="68" spans="1:44" ht="15.7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ht="15.7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row>
    <row r="70" spans="1:44" ht="15.7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ht="15.7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15.7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ht="15.7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ht="15.7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ht="15.7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row>
    <row r="76" spans="1:44" ht="15.7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ht="15.75"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row>
  </sheetData>
  <sheetProtection algorithmName="SHA-512" hashValue="aGKfiewjQhRiGFUnTd8mIkvHSRqAqNDh/t3abmXxMjOyujpicnKbwZBThhFtJEmcQnKd6cJMaDHyDUTo1QB7ng==" saltValue="2oMD4NeAllG6OfOllxxpwA==" spinCount="100000" sheet="1" objects="1" scenarios="1"/>
  <mergeCells count="37">
    <mergeCell ref="R7:S7"/>
    <mergeCell ref="R1:S1"/>
    <mergeCell ref="R2:S2"/>
    <mergeCell ref="R3:S3"/>
    <mergeCell ref="R4:S4"/>
    <mergeCell ref="R5:S5"/>
    <mergeCell ref="R19:S19"/>
    <mergeCell ref="R8:S8"/>
    <mergeCell ref="R9:S9"/>
    <mergeCell ref="R10:S10"/>
    <mergeCell ref="R11:S11"/>
    <mergeCell ref="R12:S12"/>
    <mergeCell ref="R13:S13"/>
    <mergeCell ref="R14:S14"/>
    <mergeCell ref="R15:S15"/>
    <mergeCell ref="R16:S16"/>
    <mergeCell ref="R17:S17"/>
    <mergeCell ref="R18:S18"/>
    <mergeCell ref="R31:S31"/>
    <mergeCell ref="R20:S20"/>
    <mergeCell ref="R21:S21"/>
    <mergeCell ref="R22:S22"/>
    <mergeCell ref="R23:S23"/>
    <mergeCell ref="R24:S24"/>
    <mergeCell ref="R25:S25"/>
    <mergeCell ref="R26:S26"/>
    <mergeCell ref="R27:S27"/>
    <mergeCell ref="R28:S28"/>
    <mergeCell ref="R29:S29"/>
    <mergeCell ref="R30:S30"/>
    <mergeCell ref="R38:S38"/>
    <mergeCell ref="R32:S32"/>
    <mergeCell ref="R33:S33"/>
    <mergeCell ref="R34:S34"/>
    <mergeCell ref="R35:S35"/>
    <mergeCell ref="R36:S36"/>
    <mergeCell ref="R37:S37"/>
  </mergeCells>
  <conditionalFormatting sqref="A8:G38">
    <cfRule type="expression" dxfId="23" priority="2">
      <formula>NOT(OR($C8="Monday", $C8="Tuesday",$C8="Wednesday",$C8="Thursday",$C8="Friday"))</formula>
    </cfRule>
  </conditionalFormatting>
  <conditionalFormatting sqref="G8:G38">
    <cfRule type="expression" dxfId="22" priority="4">
      <formula>AND($F8="N", (OR($C8="Monday", $C8="Tuesday",$C8="Wednesday",$C8="Thursday",$C8="Friday")))</formula>
    </cfRule>
  </conditionalFormatting>
  <conditionalFormatting sqref="H8:J38">
    <cfRule type="expression" dxfId="21" priority="1">
      <formula>OR($F8="N")</formula>
    </cfRule>
    <cfRule type="expression" dxfId="20" priority="3">
      <formula>$F8="R"</formula>
    </cfRule>
  </conditionalFormatting>
  <dataValidations count="1">
    <dataValidation type="list" allowBlank="1" showInputMessage="1" showErrorMessage="1" sqref="F8:F38" xr:uid="{3F0BB6B3-6D49-426F-AF45-DBA3531FBD47}">
      <formula1>$L$3:$L$4</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0D53B-D662-4BF9-8650-1567C2D06405}">
  <dimension ref="A1:AR77"/>
  <sheetViews>
    <sheetView zoomScale="70" zoomScaleNormal="70" workbookViewId="0">
      <selection activeCell="C1" sqref="C1"/>
    </sheetView>
  </sheetViews>
  <sheetFormatPr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6" width="7.5703125" hidden="1" customWidth="1" outlineLevel="1"/>
    <col min="17" max="17" width="2"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9.140625" collapsed="1"/>
  </cols>
  <sheetData>
    <row r="1" spans="1:44"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51"/>
      <c r="U1" s="51"/>
      <c r="V1" s="51"/>
      <c r="W1" s="30"/>
      <c r="X1" s="30"/>
      <c r="Y1" s="30"/>
      <c r="Z1" s="30"/>
      <c r="AA1" s="30"/>
      <c r="AB1" s="30"/>
      <c r="AC1" s="30"/>
      <c r="AD1" s="30"/>
      <c r="AE1" s="30"/>
      <c r="AF1" s="30"/>
      <c r="AG1" s="30"/>
      <c r="AH1" s="30"/>
      <c r="AI1" s="30"/>
      <c r="AJ1" s="30"/>
      <c r="AK1" s="30"/>
      <c r="AL1" s="30"/>
      <c r="AM1" s="30"/>
      <c r="AN1" s="30"/>
      <c r="AO1" s="30"/>
      <c r="AP1" s="30"/>
      <c r="AQ1" s="30"/>
      <c r="AR1" s="30"/>
    </row>
    <row r="2" spans="1:44" ht="16.5" x14ac:dyDescent="0.3">
      <c r="A2" s="44" t="s">
        <v>92</v>
      </c>
      <c r="B2" s="71" t="str">
        <f>Masterdata!$D$27</f>
        <v>00:00</v>
      </c>
      <c r="C2" s="30"/>
      <c r="D2" s="30"/>
      <c r="E2" s="30"/>
      <c r="F2" s="30"/>
      <c r="G2" s="30"/>
      <c r="H2" s="30"/>
      <c r="I2" s="30"/>
      <c r="J2" s="30"/>
      <c r="K2" s="30"/>
      <c r="L2" s="90"/>
      <c r="R2" s="106"/>
      <c r="S2" s="107"/>
      <c r="T2" s="51"/>
      <c r="U2" s="51"/>
      <c r="V2" s="51"/>
      <c r="W2" s="30"/>
      <c r="X2" s="30"/>
      <c r="Y2" s="30"/>
      <c r="Z2" s="30"/>
      <c r="AA2" s="30"/>
      <c r="AB2" s="30"/>
      <c r="AC2" s="30"/>
      <c r="AD2" s="30"/>
      <c r="AE2" s="30"/>
      <c r="AF2" s="30"/>
      <c r="AG2" s="30"/>
      <c r="AH2" s="30"/>
      <c r="AI2" s="30"/>
      <c r="AJ2" s="30"/>
      <c r="AK2" s="30"/>
      <c r="AL2" s="30"/>
      <c r="AM2" s="30"/>
      <c r="AN2" s="30"/>
      <c r="AO2" s="30"/>
      <c r="AP2" s="30"/>
      <c r="AQ2" s="30"/>
      <c r="AR2" s="30"/>
    </row>
    <row r="3" spans="1:44" ht="31.5" customHeight="1" x14ac:dyDescent="0.25">
      <c r="A3" s="47" t="s">
        <v>109</v>
      </c>
      <c r="B3" s="71" t="str">
        <f>IF(Q39&lt;0,"-"&amp;TEXT(ABS(Q39/24),"[tt]:mm"),TEXT(Q39/24,"[tt]:mm"))</f>
        <v>00:00</v>
      </c>
      <c r="C3" s="30"/>
      <c r="D3" s="30"/>
      <c r="E3" s="30"/>
      <c r="F3" s="30"/>
      <c r="G3" s="30"/>
      <c r="H3" s="30"/>
      <c r="I3" s="30"/>
      <c r="J3" s="30"/>
      <c r="K3" s="30"/>
      <c r="L3" s="91" t="s">
        <v>18</v>
      </c>
      <c r="R3" s="108" t="s">
        <v>130</v>
      </c>
      <c r="S3" s="109"/>
      <c r="T3" s="52"/>
      <c r="U3" s="52"/>
      <c r="V3" s="52"/>
      <c r="W3" s="30"/>
      <c r="X3" s="30"/>
      <c r="Y3" s="30"/>
      <c r="Z3" s="30"/>
      <c r="AA3" s="30"/>
      <c r="AB3" s="30"/>
      <c r="AC3" s="30"/>
      <c r="AD3" s="30"/>
      <c r="AE3" s="30"/>
      <c r="AF3" s="30"/>
      <c r="AG3" s="30"/>
      <c r="AH3" s="30"/>
      <c r="AI3" s="30"/>
      <c r="AJ3" s="30"/>
      <c r="AK3" s="30"/>
      <c r="AL3" s="30"/>
      <c r="AM3" s="30"/>
      <c r="AN3" s="30"/>
      <c r="AO3" s="30"/>
      <c r="AP3" s="30"/>
      <c r="AQ3" s="30"/>
      <c r="AR3" s="30"/>
    </row>
    <row r="4" spans="1:44" ht="54.95" customHeight="1" x14ac:dyDescent="0.25">
      <c r="A4" s="17" t="s">
        <v>110</v>
      </c>
      <c r="B4" s="48">
        <f>Masterdata!$B$5</f>
        <v>2025</v>
      </c>
      <c r="C4" s="30"/>
      <c r="D4" s="30"/>
      <c r="E4" s="30"/>
      <c r="F4" s="30"/>
      <c r="G4" s="30"/>
      <c r="H4" s="30"/>
      <c r="I4" s="30"/>
      <c r="J4" s="30"/>
      <c r="K4" s="30"/>
      <c r="L4" s="92" t="s">
        <v>19</v>
      </c>
      <c r="R4" s="110" t="s">
        <v>132</v>
      </c>
      <c r="S4" s="111"/>
      <c r="T4" s="53"/>
      <c r="U4" s="53"/>
      <c r="V4" s="53"/>
      <c r="W4" s="30"/>
      <c r="X4" s="30"/>
      <c r="Y4" s="30"/>
      <c r="Z4" s="30"/>
      <c r="AA4" s="30"/>
      <c r="AB4" s="30"/>
      <c r="AC4" s="30"/>
      <c r="AD4" s="30"/>
      <c r="AE4" s="30"/>
      <c r="AF4" s="30"/>
      <c r="AG4" s="30"/>
      <c r="AH4" s="30"/>
      <c r="AI4" s="30"/>
      <c r="AJ4" s="30"/>
      <c r="AK4" s="30"/>
      <c r="AL4" s="30"/>
      <c r="AM4" s="30"/>
      <c r="AN4" s="30"/>
      <c r="AO4" s="30"/>
      <c r="AP4" s="30"/>
      <c r="AQ4" s="30"/>
      <c r="AR4" s="30"/>
    </row>
    <row r="5" spans="1:44" ht="16.5" thickBot="1" x14ac:dyDescent="0.3">
      <c r="A5" s="13" t="s">
        <v>89</v>
      </c>
      <c r="B5" s="18" t="s">
        <v>12</v>
      </c>
      <c r="C5" s="30"/>
      <c r="D5" s="30"/>
      <c r="E5" s="30"/>
      <c r="F5" s="30"/>
      <c r="G5" s="30"/>
      <c r="H5" s="30"/>
      <c r="I5" s="30"/>
      <c r="J5" s="30"/>
      <c r="K5" s="30"/>
      <c r="L5" s="93" t="s">
        <v>118</v>
      </c>
      <c r="M5" s="94"/>
      <c r="N5" s="94"/>
      <c r="O5" s="94"/>
      <c r="P5" s="94"/>
      <c r="Q5" s="94"/>
      <c r="R5" s="112" t="s">
        <v>119</v>
      </c>
      <c r="S5" s="113"/>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6.5" thickBot="1"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Q7" s="30"/>
      <c r="R7" s="102" t="s">
        <v>121</v>
      </c>
      <c r="S7" s="103"/>
      <c r="T7" s="30"/>
      <c r="U7" s="30"/>
      <c r="V7" s="30" t="s">
        <v>27</v>
      </c>
      <c r="W7" s="30">
        <v>5</v>
      </c>
      <c r="X7" s="30"/>
      <c r="Y7" s="30"/>
      <c r="Z7" s="30"/>
      <c r="AA7" s="30"/>
      <c r="AB7" s="30"/>
      <c r="AC7" s="30"/>
      <c r="AD7" s="30"/>
      <c r="AE7" s="30"/>
      <c r="AF7" s="30"/>
      <c r="AG7" s="30"/>
      <c r="AH7" s="30"/>
      <c r="AI7" s="30"/>
      <c r="AJ7" s="30"/>
      <c r="AK7" s="30"/>
      <c r="AL7" s="30"/>
      <c r="AM7" s="30"/>
      <c r="AN7" s="30"/>
      <c r="AO7" s="30"/>
      <c r="AP7" s="30"/>
      <c r="AQ7" s="30"/>
      <c r="AR7" s="30"/>
    </row>
    <row r="8" spans="1:44" ht="15.75" x14ac:dyDescent="0.25">
      <c r="A8" s="7">
        <f>WEEKNUM($B8,21)</f>
        <v>31</v>
      </c>
      <c r="B8" s="8">
        <f>DATE(Masterdata!$B$5,8,1)</f>
        <v>45870</v>
      </c>
      <c r="C8" s="9" t="str" cm="1">
        <f t="array" ref="C8">_xlfn.XLOOKUP(E8,Masterdata!$B$31:$B$44,Masterdata!$A$31:$A$44,_xlfn.SWITCH(WEEKDAY($D8, 2), 1, "Monday", 2, "Tuesday", 3, "Wednesday", 4, "Thursday", 5, "Friday", 6, "Saturday", 7, "Sunday"),0)</f>
        <v>Friday</v>
      </c>
      <c r="D8" s="30">
        <f t="shared" ref="D8:D38" si="0">WEEKDAY($B8, 2)+1</f>
        <v>6</v>
      </c>
      <c r="E8" s="72">
        <f>$B8</f>
        <v>45870</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0.30833333333333335</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73" t="str">
        <f>LEFT(L8,1)</f>
        <v>0</v>
      </c>
      <c r="N8" s="25" t="str">
        <f>IF($M8="-",LEFT($L8,3),LEFT($L8,2))</f>
        <v>0:</v>
      </c>
      <c r="O8" s="56" t="str">
        <f>IF($M8="-",MID($L8,5,2),MID($L8,4,2))</f>
        <v>0</v>
      </c>
      <c r="P8" s="57">
        <f>O8/60</f>
        <v>0</v>
      </c>
      <c r="Q8" s="31">
        <f>IF(M8="-",N8-P8,N8+P8)</f>
        <v>0</v>
      </c>
      <c r="R8" s="101"/>
      <c r="S8" s="101"/>
      <c r="T8" s="30"/>
      <c r="U8" s="30"/>
      <c r="V8" s="30" t="s">
        <v>28</v>
      </c>
      <c r="W8" s="74">
        <f>B1/W7</f>
        <v>7.4</v>
      </c>
      <c r="X8" s="30">
        <v>0</v>
      </c>
      <c r="Y8" s="75"/>
      <c r="Z8" s="30"/>
      <c r="AA8" s="30"/>
      <c r="AB8" s="30"/>
      <c r="AC8" s="30"/>
      <c r="AD8" s="30"/>
      <c r="AE8" s="30"/>
      <c r="AF8" s="30"/>
      <c r="AG8" s="30"/>
      <c r="AH8" s="30"/>
      <c r="AI8" s="30"/>
      <c r="AJ8" s="30"/>
      <c r="AK8" s="30"/>
      <c r="AL8" s="30"/>
      <c r="AM8" s="30"/>
      <c r="AN8" s="30"/>
      <c r="AO8" s="30"/>
      <c r="AP8" s="30"/>
      <c r="AQ8" s="30"/>
      <c r="AR8" s="30"/>
    </row>
    <row r="9" spans="1:44" ht="15.75" x14ac:dyDescent="0.25">
      <c r="A9" s="7">
        <f t="shared" ref="A9:A38" si="1">WEEKNUM($B9,21)</f>
        <v>31</v>
      </c>
      <c r="B9" s="8">
        <f>B8+1</f>
        <v>45871</v>
      </c>
      <c r="C9" s="9" t="str" cm="1">
        <f t="array" ref="C9">_xlfn.XLOOKUP(E9,Masterdata!$B$31:$B$44,Masterdata!$A$31:$A$44,_xlfn.SWITCH(WEEKDAY($D9, 2), 1, "Monday", 2, "Tuesday", 3, "Wednesday", 4, "Thursday", 5, "Friday", 6, "Saturday", 7, "Sunday"),0)</f>
        <v>Saturday</v>
      </c>
      <c r="D9" s="30">
        <f t="shared" si="0"/>
        <v>7</v>
      </c>
      <c r="E9" s="72">
        <f t="shared" ref="E9:E38" si="2">$B9</f>
        <v>45871</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v>
      </c>
      <c r="H9" s="11">
        <v>0</v>
      </c>
      <c r="I9" s="11">
        <v>0</v>
      </c>
      <c r="J9" s="11">
        <v>0</v>
      </c>
      <c r="K9" s="27" t="str">
        <f t="shared" ref="K9:K38"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73" t="str">
        <f t="shared" ref="M9:M19" si="4">LEFT(L9,1)</f>
        <v>0</v>
      </c>
      <c r="N9" s="25" t="str">
        <f t="shared" ref="N9:N38" si="5">IF($M9="-",LEFT($L9,3),LEFT($L9,2))</f>
        <v>0:</v>
      </c>
      <c r="O9" s="56" t="str">
        <f t="shared" ref="O9:O38" si="6">IF($M9="-",MID($L9,5,2),MID($L9,4,2))</f>
        <v>0</v>
      </c>
      <c r="P9" s="57">
        <f t="shared" ref="P9:P13" si="7">O9/60</f>
        <v>0</v>
      </c>
      <c r="Q9" s="31">
        <f t="shared" ref="Q9:Q13" si="8">IF(M9="-",N9-P9,N9+P9)</f>
        <v>0</v>
      </c>
      <c r="R9" s="101"/>
      <c r="S9" s="101"/>
      <c r="T9" s="30"/>
      <c r="U9" s="30"/>
      <c r="V9" s="30" t="s">
        <v>29</v>
      </c>
      <c r="W9" s="75">
        <f>W8/24</f>
        <v>0.30833333333333335</v>
      </c>
      <c r="X9" s="30"/>
      <c r="Y9" s="30"/>
      <c r="Z9" s="30"/>
      <c r="AA9" s="30"/>
      <c r="AB9" s="30"/>
      <c r="AC9" s="30"/>
      <c r="AD9" s="30"/>
      <c r="AE9" s="30"/>
      <c r="AF9" s="30"/>
      <c r="AG9" s="30"/>
      <c r="AH9" s="30"/>
      <c r="AI9" s="30"/>
      <c r="AJ9" s="30"/>
      <c r="AK9" s="30"/>
      <c r="AL9" s="30"/>
      <c r="AM9" s="30"/>
      <c r="AN9" s="30"/>
      <c r="AO9" s="30"/>
      <c r="AP9" s="30"/>
      <c r="AQ9" s="30"/>
      <c r="AR9" s="30"/>
    </row>
    <row r="10" spans="1:44" ht="15.75" x14ac:dyDescent="0.25">
      <c r="A10" s="7">
        <f t="shared" si="1"/>
        <v>31</v>
      </c>
      <c r="B10" s="8">
        <f t="shared" ref="B10:B38" si="9">B9+1</f>
        <v>45872</v>
      </c>
      <c r="C10" s="9" t="str" cm="1">
        <f t="array" ref="C10">_xlfn.XLOOKUP(E10,Masterdata!$B$31:$B$44,Masterdata!$A$31:$A$44,_xlfn.SWITCH(WEEKDAY($D10, 2), 1, "Monday", 2, "Tuesday", 3, "Wednesday", 4, "Thursday", 5, "Friday", 6, "Saturday", 7, "Sunday"),0)</f>
        <v>Sunday</v>
      </c>
      <c r="D10" s="30">
        <f t="shared" si="0"/>
        <v>8</v>
      </c>
      <c r="E10" s="72">
        <f t="shared" si="2"/>
        <v>45872</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73" t="str">
        <f t="shared" si="4"/>
        <v>0</v>
      </c>
      <c r="N10" s="25" t="str">
        <f t="shared" si="5"/>
        <v>0:</v>
      </c>
      <c r="O10" s="56" t="str">
        <f t="shared" si="6"/>
        <v>0</v>
      </c>
      <c r="P10" s="57">
        <f t="shared" si="7"/>
        <v>0</v>
      </c>
      <c r="Q10" s="31">
        <f t="shared" si="8"/>
        <v>0</v>
      </c>
      <c r="R10" s="101"/>
      <c r="S10" s="101"/>
      <c r="T10" s="30" t="s">
        <v>18</v>
      </c>
      <c r="U10" s="30" t="s">
        <v>30</v>
      </c>
      <c r="V10" s="30" t="s">
        <v>31</v>
      </c>
      <c r="W10" s="31">
        <f>(B1/37)*160.33</f>
        <v>160.33000000000001</v>
      </c>
      <c r="X10" s="30"/>
      <c r="Y10" s="30"/>
      <c r="Z10" s="30"/>
      <c r="AA10" s="30"/>
      <c r="AB10" s="30"/>
      <c r="AC10" s="30"/>
      <c r="AD10" s="30"/>
      <c r="AE10" s="30"/>
      <c r="AF10" s="30"/>
      <c r="AG10" s="30"/>
      <c r="AH10" s="30"/>
      <c r="AI10" s="30"/>
      <c r="AJ10" s="30"/>
      <c r="AK10" s="30"/>
      <c r="AL10" s="30"/>
      <c r="AM10" s="30"/>
      <c r="AN10" s="30"/>
      <c r="AO10" s="30"/>
      <c r="AP10" s="30"/>
      <c r="AQ10" s="30"/>
      <c r="AR10" s="30"/>
    </row>
    <row r="11" spans="1:44" ht="15.75" x14ac:dyDescent="0.25">
      <c r="A11" s="7">
        <f t="shared" si="1"/>
        <v>32</v>
      </c>
      <c r="B11" s="8">
        <f t="shared" si="9"/>
        <v>45873</v>
      </c>
      <c r="C11" s="9" t="str" cm="1">
        <f t="array" ref="C11">_xlfn.XLOOKUP(E11,Masterdata!$B$31:$B$44,Masterdata!$A$31:$A$44,_xlfn.SWITCH(WEEKDAY($D11, 2), 1, "Monday", 2, "Tuesday", 3, "Wednesday", 4, "Thursday", 5, "Friday", 6, "Saturday", 7, "Sunday"),0)</f>
        <v>Monday</v>
      </c>
      <c r="D11" s="30">
        <f t="shared" si="0"/>
        <v>2</v>
      </c>
      <c r="E11" s="72">
        <f t="shared" si="2"/>
        <v>45873</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0.30833333333333335</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73" t="str">
        <f t="shared" si="4"/>
        <v>0</v>
      </c>
      <c r="N11" s="25" t="str">
        <f t="shared" si="5"/>
        <v>0:</v>
      </c>
      <c r="O11" s="56" t="str">
        <f t="shared" si="6"/>
        <v>0</v>
      </c>
      <c r="P11" s="57">
        <f t="shared" si="7"/>
        <v>0</v>
      </c>
      <c r="Q11" s="31">
        <f t="shared" si="8"/>
        <v>0</v>
      </c>
      <c r="R11" s="101"/>
      <c r="S11" s="10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75" x14ac:dyDescent="0.25">
      <c r="A12" s="7">
        <f t="shared" si="1"/>
        <v>32</v>
      </c>
      <c r="B12" s="8">
        <f t="shared" si="9"/>
        <v>45874</v>
      </c>
      <c r="C12" s="9" t="str" cm="1">
        <f t="array" ref="C12">_xlfn.XLOOKUP(E12,Masterdata!$B$31:$B$44,Masterdata!$A$31:$A$44,_xlfn.SWITCH(WEEKDAY($D12, 2), 1, "Monday", 2, "Tuesday", 3, "Wednesday", 4, "Thursday", 5, "Friday", 6, "Saturday", 7, "Sunday"),0)</f>
        <v>Tuesday</v>
      </c>
      <c r="D12" s="30">
        <f t="shared" si="0"/>
        <v>3</v>
      </c>
      <c r="E12" s="72">
        <f t="shared" si="2"/>
        <v>45874</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0.30833333333333335</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73" t="str">
        <f t="shared" si="4"/>
        <v>0</v>
      </c>
      <c r="N12" s="25" t="str">
        <f t="shared" si="5"/>
        <v>0:</v>
      </c>
      <c r="O12" s="56" t="str">
        <f t="shared" si="6"/>
        <v>0</v>
      </c>
      <c r="P12" s="57">
        <f t="shared" si="7"/>
        <v>0</v>
      </c>
      <c r="Q12" s="31">
        <f t="shared" si="8"/>
        <v>0</v>
      </c>
      <c r="R12" s="101"/>
      <c r="S12" s="101"/>
      <c r="T12" s="30"/>
      <c r="U12" s="30"/>
      <c r="V12" s="30"/>
      <c r="W12" s="31"/>
      <c r="X12" s="30"/>
      <c r="Y12" s="30"/>
      <c r="Z12" s="30"/>
      <c r="AA12" s="30"/>
      <c r="AB12" s="30"/>
      <c r="AC12" s="30"/>
      <c r="AD12" s="30"/>
      <c r="AE12" s="30"/>
      <c r="AF12" s="30"/>
      <c r="AG12" s="30"/>
      <c r="AH12" s="30"/>
      <c r="AI12" s="30"/>
      <c r="AJ12" s="30"/>
      <c r="AK12" s="30"/>
      <c r="AL12" s="30"/>
      <c r="AM12" s="30"/>
      <c r="AN12" s="30"/>
      <c r="AO12" s="30"/>
      <c r="AP12" s="30"/>
      <c r="AQ12" s="30"/>
      <c r="AR12" s="30"/>
    </row>
    <row r="13" spans="1:44" ht="15.75" x14ac:dyDescent="0.25">
      <c r="A13" s="7">
        <f t="shared" si="1"/>
        <v>32</v>
      </c>
      <c r="B13" s="8">
        <f t="shared" si="9"/>
        <v>45875</v>
      </c>
      <c r="C13" s="9" t="str" cm="1">
        <f t="array" ref="C13">_xlfn.XLOOKUP(E13,Masterdata!$B$31:$B$44,Masterdata!$A$31:$A$44,_xlfn.SWITCH(WEEKDAY($D13, 2), 1, "Monday", 2, "Tuesday", 3, "Wednesday", 4, "Thursday", 5, "Friday", 6, "Saturday", 7, "Sunday"),0)</f>
        <v>Wednesday</v>
      </c>
      <c r="D13" s="30">
        <f t="shared" si="0"/>
        <v>4</v>
      </c>
      <c r="E13" s="72">
        <f t="shared" si="2"/>
        <v>45875</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0.30833333333333335</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73" t="str">
        <f t="shared" si="4"/>
        <v>0</v>
      </c>
      <c r="N13" s="25" t="str">
        <f t="shared" si="5"/>
        <v>0:</v>
      </c>
      <c r="O13" s="56" t="str">
        <f t="shared" si="6"/>
        <v>0</v>
      </c>
      <c r="P13" s="57">
        <f t="shared" si="7"/>
        <v>0</v>
      </c>
      <c r="Q13" s="31">
        <f t="shared" si="8"/>
        <v>0</v>
      </c>
      <c r="R13" s="100"/>
      <c r="S13" s="100"/>
      <c r="T13" s="30"/>
      <c r="U13" s="30"/>
      <c r="V13" s="30"/>
      <c r="W13" s="76"/>
      <c r="X13" s="30"/>
      <c r="Y13" s="30"/>
      <c r="Z13" s="30"/>
      <c r="AA13" s="30"/>
      <c r="AB13" s="30"/>
      <c r="AC13" s="30"/>
      <c r="AD13" s="30"/>
      <c r="AE13" s="30"/>
      <c r="AF13" s="30"/>
      <c r="AG13" s="30"/>
      <c r="AH13" s="30"/>
      <c r="AI13" s="30"/>
      <c r="AJ13" s="30"/>
      <c r="AK13" s="30"/>
      <c r="AL13" s="30"/>
      <c r="AM13" s="30"/>
      <c r="AN13" s="30"/>
      <c r="AO13" s="30"/>
      <c r="AP13" s="30"/>
      <c r="AQ13" s="30"/>
      <c r="AR13" s="30"/>
    </row>
    <row r="14" spans="1:44" ht="15.75" x14ac:dyDescent="0.25">
      <c r="A14" s="7">
        <f t="shared" si="1"/>
        <v>32</v>
      </c>
      <c r="B14" s="8">
        <f t="shared" si="9"/>
        <v>45876</v>
      </c>
      <c r="C14" s="9" t="str" cm="1">
        <f t="array" ref="C14">_xlfn.XLOOKUP(E14,Masterdata!$B$31:$B$44,Masterdata!$A$31:$A$44,_xlfn.SWITCH(WEEKDAY($D14, 2), 1, "Monday", 2, "Tuesday", 3, "Wednesday", 4, "Thursday", 5, "Friday", 6, "Saturday", 7, "Sunday"),0)</f>
        <v>Thursday</v>
      </c>
      <c r="D14" s="30">
        <f t="shared" si="0"/>
        <v>5</v>
      </c>
      <c r="E14" s="72">
        <f t="shared" si="2"/>
        <v>45876</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0.30833333333333335</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73" t="str">
        <f t="shared" si="4"/>
        <v>0</v>
      </c>
      <c r="N14" s="25" t="str">
        <f t="shared" si="5"/>
        <v>0:</v>
      </c>
      <c r="O14" s="56" t="str">
        <f t="shared" si="6"/>
        <v>0</v>
      </c>
      <c r="P14" s="57">
        <f>O14/60</f>
        <v>0</v>
      </c>
      <c r="Q14" s="31">
        <f>IF(M14="-",N14-P14,N14+P14)</f>
        <v>0</v>
      </c>
      <c r="R14" s="100"/>
      <c r="S14" s="10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75" x14ac:dyDescent="0.25">
      <c r="A15" s="7">
        <f t="shared" si="1"/>
        <v>32</v>
      </c>
      <c r="B15" s="8">
        <f t="shared" si="9"/>
        <v>45877</v>
      </c>
      <c r="C15" s="9" t="str" cm="1">
        <f t="array" ref="C15">_xlfn.XLOOKUP(E15,Masterdata!$B$31:$B$44,Masterdata!$A$31:$A$44,_xlfn.SWITCH(WEEKDAY($D15, 2), 1, "Monday", 2, "Tuesday", 3, "Wednesday", 4, "Thursday", 5, "Friday", 6, "Saturday", 7, "Sunday"),0)</f>
        <v>Friday</v>
      </c>
      <c r="D15" s="30">
        <f t="shared" si="0"/>
        <v>6</v>
      </c>
      <c r="E15" s="72">
        <f t="shared" si="2"/>
        <v>45877</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0.30833333333333335</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73" t="str">
        <f t="shared" si="4"/>
        <v>0</v>
      </c>
      <c r="N15" s="25" t="str">
        <f t="shared" si="5"/>
        <v>0:</v>
      </c>
      <c r="O15" s="56" t="str">
        <f t="shared" si="6"/>
        <v>0</v>
      </c>
      <c r="P15" s="57">
        <f t="shared" ref="P15:P38" si="10">O15/60</f>
        <v>0</v>
      </c>
      <c r="Q15" s="31">
        <f t="shared" ref="Q15:Q19" si="11">IF(M15="-",N15-P15,N15+P15)</f>
        <v>0</v>
      </c>
      <c r="R15" s="100"/>
      <c r="S15" s="100"/>
      <c r="T15" s="30" t="s">
        <v>32</v>
      </c>
      <c r="U15" s="30" t="s">
        <v>33</v>
      </c>
      <c r="V15" s="30" t="s">
        <v>34</v>
      </c>
      <c r="W15" s="31">
        <f>W10-W13</f>
        <v>160.33000000000001</v>
      </c>
      <c r="X15" s="30"/>
      <c r="Y15" s="30"/>
      <c r="Z15" s="30"/>
      <c r="AA15" s="30"/>
      <c r="AB15" s="30"/>
      <c r="AC15" s="30"/>
      <c r="AD15" s="30"/>
      <c r="AE15" s="30"/>
      <c r="AF15" s="30"/>
      <c r="AG15" s="30"/>
      <c r="AH15" s="30"/>
      <c r="AI15" s="30"/>
      <c r="AJ15" s="30"/>
      <c r="AK15" s="30"/>
      <c r="AL15" s="30"/>
      <c r="AM15" s="30"/>
      <c r="AN15" s="30"/>
      <c r="AO15" s="30"/>
      <c r="AP15" s="30"/>
      <c r="AQ15" s="30"/>
      <c r="AR15" s="30"/>
    </row>
    <row r="16" spans="1:44" ht="15.75" x14ac:dyDescent="0.25">
      <c r="A16" s="7">
        <f t="shared" si="1"/>
        <v>32</v>
      </c>
      <c r="B16" s="8">
        <f t="shared" si="9"/>
        <v>45878</v>
      </c>
      <c r="C16" s="9" t="str" cm="1">
        <f t="array" ref="C16">_xlfn.XLOOKUP(E16,Masterdata!$B$31:$B$44,Masterdata!$A$31:$A$44,_xlfn.SWITCH(WEEKDAY($D16, 2), 1, "Monday", 2, "Tuesday", 3, "Wednesday", 4, "Thursday", 5, "Friday", 6, "Saturday", 7, "Sunday"),0)</f>
        <v>Saturday</v>
      </c>
      <c r="D16" s="30">
        <f t="shared" si="0"/>
        <v>7</v>
      </c>
      <c r="E16" s="72">
        <f t="shared" si="2"/>
        <v>45878</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73" t="str">
        <f t="shared" si="4"/>
        <v>0</v>
      </c>
      <c r="N16" s="25" t="str">
        <f t="shared" si="5"/>
        <v>0:</v>
      </c>
      <c r="O16" s="56" t="str">
        <f t="shared" si="6"/>
        <v>0</v>
      </c>
      <c r="P16" s="57">
        <f t="shared" si="10"/>
        <v>0</v>
      </c>
      <c r="Q16" s="31">
        <f t="shared" si="11"/>
        <v>0</v>
      </c>
      <c r="R16" s="100"/>
      <c r="S16" s="100"/>
      <c r="T16" s="30" t="s">
        <v>35</v>
      </c>
      <c r="U16" s="30" t="s">
        <v>36</v>
      </c>
      <c r="V16" s="30" t="s">
        <v>37</v>
      </c>
      <c r="W16" s="31" t="e">
        <f>SUM(#REF!)</f>
        <v>#REF!</v>
      </c>
      <c r="X16" s="30"/>
      <c r="Y16" s="30"/>
      <c r="Z16" s="30"/>
      <c r="AA16" s="30"/>
      <c r="AB16" s="30"/>
      <c r="AC16" s="30"/>
      <c r="AD16" s="30"/>
      <c r="AE16" s="30"/>
      <c r="AF16" s="30"/>
      <c r="AG16" s="30"/>
      <c r="AH16" s="30"/>
      <c r="AI16" s="30"/>
      <c r="AJ16" s="30"/>
      <c r="AK16" s="30"/>
      <c r="AL16" s="30"/>
      <c r="AM16" s="30"/>
      <c r="AN16" s="30"/>
      <c r="AO16" s="30"/>
      <c r="AP16" s="30"/>
      <c r="AQ16" s="30"/>
      <c r="AR16" s="30"/>
    </row>
    <row r="17" spans="1:44" ht="15.75" x14ac:dyDescent="0.25">
      <c r="A17" s="7">
        <f t="shared" si="1"/>
        <v>32</v>
      </c>
      <c r="B17" s="8">
        <f t="shared" si="9"/>
        <v>45879</v>
      </c>
      <c r="C17" s="9" t="str" cm="1">
        <f t="array" ref="C17">_xlfn.XLOOKUP(E17,Masterdata!$B$31:$B$44,Masterdata!$A$31:$A$44,_xlfn.SWITCH(WEEKDAY($D17, 2), 1, "Monday", 2, "Tuesday", 3, "Wednesday", 4, "Thursday", 5, "Friday", 6, "Saturday", 7, "Sunday"),0)</f>
        <v>Sunday</v>
      </c>
      <c r="D17" s="30">
        <f t="shared" si="0"/>
        <v>8</v>
      </c>
      <c r="E17" s="72">
        <f t="shared" si="2"/>
        <v>45879</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73" t="str">
        <f t="shared" si="4"/>
        <v>0</v>
      </c>
      <c r="N17" s="25" t="str">
        <f t="shared" si="5"/>
        <v>0:</v>
      </c>
      <c r="O17" s="56" t="str">
        <f t="shared" si="6"/>
        <v>0</v>
      </c>
      <c r="P17" s="57">
        <f t="shared" si="10"/>
        <v>0</v>
      </c>
      <c r="Q17" s="31">
        <f t="shared" si="11"/>
        <v>0</v>
      </c>
      <c r="R17" s="100"/>
      <c r="S17" s="100"/>
      <c r="T17" s="30" t="s">
        <v>19</v>
      </c>
      <c r="U17" s="30" t="s">
        <v>38</v>
      </c>
      <c r="V17" s="30" t="s">
        <v>39</v>
      </c>
      <c r="W17" s="31" t="e">
        <f>W15-W16</f>
        <v>#REF!</v>
      </c>
      <c r="X17" s="30"/>
      <c r="Y17" s="30"/>
      <c r="Z17" s="30"/>
      <c r="AA17" s="30"/>
      <c r="AB17" s="30"/>
      <c r="AC17" s="30"/>
      <c r="AD17" s="30"/>
      <c r="AE17" s="30"/>
      <c r="AF17" s="30"/>
      <c r="AG17" s="30"/>
      <c r="AH17" s="30"/>
      <c r="AI17" s="30"/>
      <c r="AJ17" s="30"/>
      <c r="AK17" s="30"/>
      <c r="AL17" s="30"/>
      <c r="AM17" s="30"/>
      <c r="AN17" s="30"/>
      <c r="AO17" s="30"/>
      <c r="AP17" s="30"/>
      <c r="AQ17" s="30"/>
      <c r="AR17" s="30"/>
    </row>
    <row r="18" spans="1:44" ht="15.75" x14ac:dyDescent="0.25">
      <c r="A18" s="7">
        <f t="shared" si="1"/>
        <v>33</v>
      </c>
      <c r="B18" s="8">
        <f t="shared" si="9"/>
        <v>45880</v>
      </c>
      <c r="C18" s="9" t="str" cm="1">
        <f t="array" ref="C18">_xlfn.XLOOKUP(E18,Masterdata!$B$31:$B$44,Masterdata!$A$31:$A$44,_xlfn.SWITCH(WEEKDAY($D18, 2), 1, "Monday", 2, "Tuesday", 3, "Wednesday", 4, "Thursday", 5, "Friday", 6, "Saturday", 7, "Sunday"),0)</f>
        <v>Monday</v>
      </c>
      <c r="D18" s="30">
        <f t="shared" si="0"/>
        <v>2</v>
      </c>
      <c r="E18" s="72">
        <f t="shared" si="2"/>
        <v>45880</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0.30833333333333335</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73" t="str">
        <f t="shared" si="4"/>
        <v>0</v>
      </c>
      <c r="N18" s="25" t="str">
        <f t="shared" si="5"/>
        <v>0:</v>
      </c>
      <c r="O18" s="56" t="str">
        <f t="shared" si="6"/>
        <v>0</v>
      </c>
      <c r="P18" s="57">
        <f t="shared" si="10"/>
        <v>0</v>
      </c>
      <c r="Q18" s="31">
        <f t="shared" si="11"/>
        <v>0</v>
      </c>
      <c r="R18" s="100"/>
      <c r="S18" s="100"/>
      <c r="T18" s="30"/>
      <c r="U18" s="30"/>
      <c r="V18" s="72"/>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15.75" x14ac:dyDescent="0.25">
      <c r="A19" s="7">
        <f t="shared" si="1"/>
        <v>33</v>
      </c>
      <c r="B19" s="8">
        <f t="shared" si="9"/>
        <v>45881</v>
      </c>
      <c r="C19" s="9" t="str" cm="1">
        <f t="array" ref="C19">_xlfn.XLOOKUP(E19,Masterdata!$B$31:$B$44,Masterdata!$A$31:$A$44,_xlfn.SWITCH(WEEKDAY($D19, 2), 1, "Monday", 2, "Tuesday", 3, "Wednesday", 4, "Thursday", 5, "Friday", 6, "Saturday", 7, "Sunday"),0)</f>
        <v>Tuesday</v>
      </c>
      <c r="D19" s="30">
        <f t="shared" si="0"/>
        <v>3</v>
      </c>
      <c r="E19" s="72">
        <f t="shared" si="2"/>
        <v>45881</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0.30833333333333335</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73" t="str">
        <f t="shared" si="4"/>
        <v>0</v>
      </c>
      <c r="N19" s="25" t="str">
        <f t="shared" si="5"/>
        <v>0:</v>
      </c>
      <c r="O19" s="56" t="str">
        <f t="shared" si="6"/>
        <v>0</v>
      </c>
      <c r="P19" s="57">
        <f t="shared" si="10"/>
        <v>0</v>
      </c>
      <c r="Q19" s="31">
        <f t="shared" si="11"/>
        <v>0</v>
      </c>
      <c r="R19" s="100"/>
      <c r="S19" s="10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75" x14ac:dyDescent="0.25">
      <c r="A20" s="7">
        <f t="shared" si="1"/>
        <v>33</v>
      </c>
      <c r="B20" s="8">
        <f t="shared" si="9"/>
        <v>45882</v>
      </c>
      <c r="C20" s="9" t="str" cm="1">
        <f t="array" ref="C20">_xlfn.XLOOKUP(E20,Masterdata!$B$31:$B$44,Masterdata!$A$31:$A$44,_xlfn.SWITCH(WEEKDAY($D20, 2), 1, "Monday", 2, "Tuesday", 3, "Wednesday", 4, "Thursday", 5, "Friday", 6, "Saturday", 7, "Sunday"),0)</f>
        <v>Wednesday</v>
      </c>
      <c r="D20" s="30">
        <f t="shared" si="0"/>
        <v>4</v>
      </c>
      <c r="E20" s="72">
        <f t="shared" si="2"/>
        <v>45882</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0.30833333333333335</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73" t="str">
        <f>LEFT(L20,1)</f>
        <v>0</v>
      </c>
      <c r="N20" s="25" t="str">
        <f t="shared" si="5"/>
        <v>0:</v>
      </c>
      <c r="O20" s="56" t="str">
        <f t="shared" si="6"/>
        <v>0</v>
      </c>
      <c r="P20" s="57">
        <f t="shared" si="10"/>
        <v>0</v>
      </c>
      <c r="Q20" s="31">
        <f>IF(M20="-",N20-P20,N20+P20)</f>
        <v>0</v>
      </c>
      <c r="R20" s="100"/>
      <c r="S20" s="10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15.75" x14ac:dyDescent="0.25">
      <c r="A21" s="7">
        <f t="shared" si="1"/>
        <v>33</v>
      </c>
      <c r="B21" s="8">
        <f t="shared" si="9"/>
        <v>45883</v>
      </c>
      <c r="C21" s="9" t="str" cm="1">
        <f t="array" ref="C21">_xlfn.XLOOKUP(E21,Masterdata!$B$31:$B$44,Masterdata!$A$31:$A$44,_xlfn.SWITCH(WEEKDAY($D21, 2), 1, "Monday", 2, "Tuesday", 3, "Wednesday", 4, "Thursday", 5, "Friday", 6, "Saturday", 7, "Sunday"),0)</f>
        <v>Thursday</v>
      </c>
      <c r="D21" s="30">
        <f t="shared" si="0"/>
        <v>5</v>
      </c>
      <c r="E21" s="72">
        <f t="shared" si="2"/>
        <v>45883</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0.30833333333333335</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73" t="str">
        <f t="shared" ref="M21:M38" si="12">LEFT(L21,1)</f>
        <v>0</v>
      </c>
      <c r="N21" s="25" t="str">
        <f t="shared" si="5"/>
        <v>0:</v>
      </c>
      <c r="O21" s="56" t="str">
        <f t="shared" si="6"/>
        <v>0</v>
      </c>
      <c r="P21" s="57">
        <f t="shared" si="10"/>
        <v>0</v>
      </c>
      <c r="Q21" s="31">
        <f t="shared" ref="Q21:Q38" si="13">IF(M21="-",N21-P21,N21+P21)</f>
        <v>0</v>
      </c>
      <c r="R21" s="100"/>
      <c r="S21" s="10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ht="15.75" x14ac:dyDescent="0.25">
      <c r="A22" s="7">
        <f t="shared" si="1"/>
        <v>33</v>
      </c>
      <c r="B22" s="8">
        <f t="shared" si="9"/>
        <v>45884</v>
      </c>
      <c r="C22" s="9" t="str" cm="1">
        <f t="array" ref="C22">_xlfn.XLOOKUP(E22,Masterdata!$B$31:$B$44,Masterdata!$A$31:$A$44,_xlfn.SWITCH(WEEKDAY($D22, 2), 1, "Monday", 2, "Tuesday", 3, "Wednesday", 4, "Thursday", 5, "Friday", 6, "Saturday", 7, "Sunday"),0)</f>
        <v>Friday</v>
      </c>
      <c r="D22" s="30">
        <f t="shared" si="0"/>
        <v>6</v>
      </c>
      <c r="E22" s="72">
        <f t="shared" si="2"/>
        <v>45884</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0.30833333333333335</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73" t="str">
        <f t="shared" si="12"/>
        <v>0</v>
      </c>
      <c r="N22" s="25" t="str">
        <f t="shared" si="5"/>
        <v>0:</v>
      </c>
      <c r="O22" s="56" t="str">
        <f t="shared" si="6"/>
        <v>0</v>
      </c>
      <c r="P22" s="57">
        <f t="shared" si="10"/>
        <v>0</v>
      </c>
      <c r="Q22" s="31">
        <f t="shared" si="13"/>
        <v>0</v>
      </c>
      <c r="R22" s="100"/>
      <c r="S22" s="10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5.75" x14ac:dyDescent="0.25">
      <c r="A23" s="7">
        <f t="shared" si="1"/>
        <v>33</v>
      </c>
      <c r="B23" s="8">
        <f t="shared" si="9"/>
        <v>45885</v>
      </c>
      <c r="C23" s="9" t="str" cm="1">
        <f t="array" ref="C23">_xlfn.XLOOKUP(E23,Masterdata!$B$31:$B$44,Masterdata!$A$31:$A$44,_xlfn.SWITCH(WEEKDAY($D23, 2), 1, "Monday", 2, "Tuesday", 3, "Wednesday", 4, "Thursday", 5, "Friday", 6, "Saturday", 7, "Sunday"),0)</f>
        <v>Saturday</v>
      </c>
      <c r="D23" s="30">
        <f t="shared" si="0"/>
        <v>7</v>
      </c>
      <c r="E23" s="72">
        <f t="shared" si="2"/>
        <v>45885</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73" t="str">
        <f t="shared" si="12"/>
        <v>0</v>
      </c>
      <c r="N23" s="25" t="str">
        <f t="shared" si="5"/>
        <v>0:</v>
      </c>
      <c r="O23" s="56" t="str">
        <f t="shared" si="6"/>
        <v>0</v>
      </c>
      <c r="P23" s="57">
        <f t="shared" si="10"/>
        <v>0</v>
      </c>
      <c r="Q23" s="31">
        <f t="shared" si="13"/>
        <v>0</v>
      </c>
      <c r="R23" s="100"/>
      <c r="S23" s="10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15.75" x14ac:dyDescent="0.25">
      <c r="A24" s="7">
        <f t="shared" si="1"/>
        <v>33</v>
      </c>
      <c r="B24" s="8">
        <f t="shared" si="9"/>
        <v>45886</v>
      </c>
      <c r="C24" s="9" t="str" cm="1">
        <f t="array" ref="C24">_xlfn.XLOOKUP(E24,Masterdata!$B$31:$B$44,Masterdata!$A$31:$A$44,_xlfn.SWITCH(WEEKDAY($D24, 2), 1, "Monday", 2, "Tuesday", 3, "Wednesday", 4, "Thursday", 5, "Friday", 6, "Saturday", 7, "Sunday"),0)</f>
        <v>Sunday</v>
      </c>
      <c r="D24" s="30">
        <f t="shared" si="0"/>
        <v>8</v>
      </c>
      <c r="E24" s="72">
        <f t="shared" si="2"/>
        <v>45886</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73" t="str">
        <f t="shared" si="12"/>
        <v>0</v>
      </c>
      <c r="N24" s="25" t="str">
        <f t="shared" si="5"/>
        <v>0:</v>
      </c>
      <c r="O24" s="56" t="str">
        <f t="shared" si="6"/>
        <v>0</v>
      </c>
      <c r="P24" s="57">
        <f t="shared" si="10"/>
        <v>0</v>
      </c>
      <c r="Q24" s="31">
        <f t="shared" si="13"/>
        <v>0</v>
      </c>
      <c r="R24" s="100"/>
      <c r="S24" s="10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5.75" x14ac:dyDescent="0.25">
      <c r="A25" s="7">
        <f t="shared" si="1"/>
        <v>34</v>
      </c>
      <c r="B25" s="8">
        <f t="shared" si="9"/>
        <v>45887</v>
      </c>
      <c r="C25" s="9" t="str" cm="1">
        <f t="array" ref="C25">_xlfn.XLOOKUP(E25,Masterdata!$B$31:$B$44,Masterdata!$A$31:$A$44,_xlfn.SWITCH(WEEKDAY($D25, 2), 1, "Monday", 2, "Tuesday", 3, "Wednesday", 4, "Thursday", 5, "Friday", 6, "Saturday", 7, "Sunday"),0)</f>
        <v>Monday</v>
      </c>
      <c r="D25" s="30">
        <f t="shared" si="0"/>
        <v>2</v>
      </c>
      <c r="E25" s="72">
        <f t="shared" si="2"/>
        <v>45887</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0.30833333333333335</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73" t="str">
        <f t="shared" si="12"/>
        <v>0</v>
      </c>
      <c r="N25" s="25" t="str">
        <f t="shared" si="5"/>
        <v>0:</v>
      </c>
      <c r="O25" s="56" t="str">
        <f t="shared" si="6"/>
        <v>0</v>
      </c>
      <c r="P25" s="57">
        <f t="shared" si="10"/>
        <v>0</v>
      </c>
      <c r="Q25" s="31">
        <f t="shared" si="13"/>
        <v>0</v>
      </c>
      <c r="R25" s="100"/>
      <c r="S25" s="10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ht="15.75" x14ac:dyDescent="0.25">
      <c r="A26" s="7">
        <f t="shared" si="1"/>
        <v>34</v>
      </c>
      <c r="B26" s="8">
        <f t="shared" si="9"/>
        <v>45888</v>
      </c>
      <c r="C26" s="9" t="str" cm="1">
        <f t="array" ref="C26">_xlfn.XLOOKUP(E26,Masterdata!$B$31:$B$44,Masterdata!$A$31:$A$44,_xlfn.SWITCH(WEEKDAY($D26, 2), 1, "Monday", 2, "Tuesday", 3, "Wednesday", 4, "Thursday", 5, "Friday", 6, "Saturday", 7, "Sunday"),0)</f>
        <v>Tuesday</v>
      </c>
      <c r="D26" s="30">
        <f t="shared" si="0"/>
        <v>3</v>
      </c>
      <c r="E26" s="72">
        <f t="shared" si="2"/>
        <v>45888</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0.30833333333333335</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73" t="str">
        <f t="shared" si="12"/>
        <v>0</v>
      </c>
      <c r="N26" s="25" t="str">
        <f t="shared" si="5"/>
        <v>0:</v>
      </c>
      <c r="O26" s="56" t="str">
        <f t="shared" si="6"/>
        <v>0</v>
      </c>
      <c r="P26" s="57">
        <f t="shared" si="10"/>
        <v>0</v>
      </c>
      <c r="Q26" s="31">
        <f t="shared" si="13"/>
        <v>0</v>
      </c>
      <c r="R26" s="100"/>
      <c r="S26" s="10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5.75" x14ac:dyDescent="0.25">
      <c r="A27" s="7">
        <f t="shared" si="1"/>
        <v>34</v>
      </c>
      <c r="B27" s="8">
        <f t="shared" si="9"/>
        <v>45889</v>
      </c>
      <c r="C27" s="9" t="str" cm="1">
        <f t="array" ref="C27">_xlfn.XLOOKUP(E27,Masterdata!$B$31:$B$44,Masterdata!$A$31:$A$44,_xlfn.SWITCH(WEEKDAY($D27, 2), 1, "Monday", 2, "Tuesday", 3, "Wednesday", 4, "Thursday", 5, "Friday", 6, "Saturday", 7, "Sunday"),0)</f>
        <v>Wednesday</v>
      </c>
      <c r="D27" s="30">
        <f t="shared" si="0"/>
        <v>4</v>
      </c>
      <c r="E27" s="72">
        <f t="shared" si="2"/>
        <v>45889</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0.30833333333333335</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73" t="str">
        <f t="shared" si="12"/>
        <v>0</v>
      </c>
      <c r="N27" s="25" t="str">
        <f t="shared" si="5"/>
        <v>0:</v>
      </c>
      <c r="O27" s="56" t="str">
        <f t="shared" si="6"/>
        <v>0</v>
      </c>
      <c r="P27" s="57">
        <f t="shared" si="10"/>
        <v>0</v>
      </c>
      <c r="Q27" s="31">
        <f t="shared" si="13"/>
        <v>0</v>
      </c>
      <c r="R27" s="100"/>
      <c r="S27" s="10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ht="15.75" x14ac:dyDescent="0.25">
      <c r="A28" s="7">
        <f t="shared" si="1"/>
        <v>34</v>
      </c>
      <c r="B28" s="8">
        <f t="shared" si="9"/>
        <v>45890</v>
      </c>
      <c r="C28" s="9" t="str" cm="1">
        <f t="array" ref="C28">_xlfn.XLOOKUP(E28,Masterdata!$B$31:$B$44,Masterdata!$A$31:$A$44,_xlfn.SWITCH(WEEKDAY($D28, 2), 1, "Monday", 2, "Tuesday", 3, "Wednesday", 4, "Thursday", 5, "Friday", 6, "Saturday", 7, "Sunday"),0)</f>
        <v>Thursday</v>
      </c>
      <c r="D28" s="30">
        <f t="shared" si="0"/>
        <v>5</v>
      </c>
      <c r="E28" s="72">
        <f t="shared" si="2"/>
        <v>45890</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0.30833333333333335</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73" t="str">
        <f t="shared" si="12"/>
        <v>0</v>
      </c>
      <c r="N28" s="25" t="str">
        <f t="shared" si="5"/>
        <v>0:</v>
      </c>
      <c r="O28" s="56" t="str">
        <f t="shared" si="6"/>
        <v>0</v>
      </c>
      <c r="P28" s="57">
        <f t="shared" si="10"/>
        <v>0</v>
      </c>
      <c r="Q28" s="31">
        <f t="shared" si="13"/>
        <v>0</v>
      </c>
      <c r="R28" s="100"/>
      <c r="S28" s="10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5.75" x14ac:dyDescent="0.25">
      <c r="A29" s="7">
        <f t="shared" si="1"/>
        <v>34</v>
      </c>
      <c r="B29" s="8">
        <f t="shared" si="9"/>
        <v>45891</v>
      </c>
      <c r="C29" s="9" t="str" cm="1">
        <f t="array" ref="C29">_xlfn.XLOOKUP(E29,Masterdata!$B$31:$B$44,Masterdata!$A$31:$A$44,_xlfn.SWITCH(WEEKDAY($D29, 2), 1, "Monday", 2, "Tuesday", 3, "Wednesday", 4, "Thursday", 5, "Friday", 6, "Saturday", 7, "Sunday"),0)</f>
        <v>Friday</v>
      </c>
      <c r="D29" s="30">
        <f t="shared" si="0"/>
        <v>6</v>
      </c>
      <c r="E29" s="72">
        <f t="shared" si="2"/>
        <v>45891</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0.30833333333333335</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73" t="str">
        <f t="shared" si="12"/>
        <v>0</v>
      </c>
      <c r="N29" s="25" t="str">
        <f t="shared" si="5"/>
        <v>0:</v>
      </c>
      <c r="O29" s="56" t="str">
        <f t="shared" si="6"/>
        <v>0</v>
      </c>
      <c r="P29" s="57">
        <f t="shared" si="10"/>
        <v>0</v>
      </c>
      <c r="Q29" s="31">
        <f t="shared" si="13"/>
        <v>0</v>
      </c>
      <c r="R29" s="100"/>
      <c r="S29" s="10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ht="15.75" x14ac:dyDescent="0.25">
      <c r="A30" s="7">
        <f t="shared" si="1"/>
        <v>34</v>
      </c>
      <c r="B30" s="8">
        <f t="shared" si="9"/>
        <v>45892</v>
      </c>
      <c r="C30" s="9" t="str" cm="1">
        <f t="array" ref="C30">_xlfn.XLOOKUP(E30,Masterdata!$B$31:$B$44,Masterdata!$A$31:$A$44,_xlfn.SWITCH(WEEKDAY($D30, 2), 1, "Monday", 2, "Tuesday", 3, "Wednesday", 4, "Thursday", 5, "Friday", 6, "Saturday", 7, "Sunday"),0)</f>
        <v>Saturday</v>
      </c>
      <c r="D30" s="30">
        <f t="shared" si="0"/>
        <v>7</v>
      </c>
      <c r="E30" s="72">
        <f t="shared" si="2"/>
        <v>45892</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73" t="str">
        <f t="shared" si="12"/>
        <v>0</v>
      </c>
      <c r="N30" s="25" t="str">
        <f t="shared" si="5"/>
        <v>0:</v>
      </c>
      <c r="O30" s="56" t="str">
        <f t="shared" si="6"/>
        <v>0</v>
      </c>
      <c r="P30" s="57">
        <f t="shared" si="10"/>
        <v>0</v>
      </c>
      <c r="Q30" s="31">
        <f t="shared" si="13"/>
        <v>0</v>
      </c>
      <c r="R30" s="100"/>
      <c r="S30" s="10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5.75" x14ac:dyDescent="0.25">
      <c r="A31" s="7">
        <f t="shared" si="1"/>
        <v>34</v>
      </c>
      <c r="B31" s="8">
        <f t="shared" si="9"/>
        <v>45893</v>
      </c>
      <c r="C31" s="9" t="str" cm="1">
        <f t="array" ref="C31">_xlfn.XLOOKUP(E31,Masterdata!$B$31:$B$44,Masterdata!$A$31:$A$44,_xlfn.SWITCH(WEEKDAY($D31, 2), 1, "Monday", 2, "Tuesday", 3, "Wednesday", 4, "Thursday", 5, "Friday", 6, "Saturday", 7, "Sunday"),0)</f>
        <v>Sunday</v>
      </c>
      <c r="D31" s="30">
        <f t="shared" si="0"/>
        <v>8</v>
      </c>
      <c r="E31" s="72">
        <f t="shared" si="2"/>
        <v>45893</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73" t="str">
        <f t="shared" si="12"/>
        <v>0</v>
      </c>
      <c r="N31" s="25" t="str">
        <f t="shared" si="5"/>
        <v>0:</v>
      </c>
      <c r="O31" s="56" t="str">
        <f t="shared" si="6"/>
        <v>0</v>
      </c>
      <c r="P31" s="57">
        <f t="shared" si="10"/>
        <v>0</v>
      </c>
      <c r="Q31" s="31">
        <f t="shared" si="13"/>
        <v>0</v>
      </c>
      <c r="R31" s="100"/>
      <c r="S31" s="10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15.75" x14ac:dyDescent="0.25">
      <c r="A32" s="7">
        <f t="shared" si="1"/>
        <v>35</v>
      </c>
      <c r="B32" s="8">
        <f t="shared" si="9"/>
        <v>45894</v>
      </c>
      <c r="C32" s="9" t="str" cm="1">
        <f t="array" ref="C32">_xlfn.XLOOKUP(E32,Masterdata!$B$31:$B$44,Masterdata!$A$31:$A$44,_xlfn.SWITCH(WEEKDAY($D32, 2), 1, "Monday", 2, "Tuesday", 3, "Wednesday", 4, "Thursday", 5, "Friday", 6, "Saturday", 7, "Sunday"),0)</f>
        <v>Monday</v>
      </c>
      <c r="D32" s="30">
        <f t="shared" si="0"/>
        <v>2</v>
      </c>
      <c r="E32" s="72">
        <f t="shared" si="2"/>
        <v>45894</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0.30833333333333335</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73" t="str">
        <f t="shared" si="12"/>
        <v>0</v>
      </c>
      <c r="N32" s="25" t="str">
        <f t="shared" si="5"/>
        <v>0:</v>
      </c>
      <c r="O32" s="56" t="str">
        <f t="shared" si="6"/>
        <v>0</v>
      </c>
      <c r="P32" s="57">
        <f t="shared" si="10"/>
        <v>0</v>
      </c>
      <c r="Q32" s="31">
        <f t="shared" si="13"/>
        <v>0</v>
      </c>
      <c r="R32" s="100"/>
      <c r="S32" s="10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5.75" x14ac:dyDescent="0.25">
      <c r="A33" s="7">
        <f t="shared" si="1"/>
        <v>35</v>
      </c>
      <c r="B33" s="8">
        <f t="shared" si="9"/>
        <v>45895</v>
      </c>
      <c r="C33" s="9" t="str" cm="1">
        <f t="array" ref="C33">_xlfn.XLOOKUP(E33,Masterdata!$B$31:$B$44,Masterdata!$A$31:$A$44,_xlfn.SWITCH(WEEKDAY($D33, 2), 1, "Monday", 2, "Tuesday", 3, "Wednesday", 4, "Thursday", 5, "Friday", 6, "Saturday", 7, "Sunday"),0)</f>
        <v>Tuesday</v>
      </c>
      <c r="D33" s="30">
        <f t="shared" si="0"/>
        <v>3</v>
      </c>
      <c r="E33" s="72">
        <f t="shared" si="2"/>
        <v>45895</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0.30833333333333335</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73" t="str">
        <f t="shared" si="12"/>
        <v>0</v>
      </c>
      <c r="N33" s="25" t="str">
        <f t="shared" si="5"/>
        <v>0:</v>
      </c>
      <c r="O33" s="56" t="str">
        <f t="shared" si="6"/>
        <v>0</v>
      </c>
      <c r="P33" s="57">
        <f t="shared" si="10"/>
        <v>0</v>
      </c>
      <c r="Q33" s="31">
        <f t="shared" si="13"/>
        <v>0</v>
      </c>
      <c r="R33" s="100"/>
      <c r="S33" s="10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15.75" x14ac:dyDescent="0.25">
      <c r="A34" s="7">
        <f t="shared" si="1"/>
        <v>35</v>
      </c>
      <c r="B34" s="8">
        <f t="shared" si="9"/>
        <v>45896</v>
      </c>
      <c r="C34" s="9" t="str" cm="1">
        <f t="array" ref="C34">_xlfn.XLOOKUP(E34,Masterdata!$B$31:$B$44,Masterdata!$A$31:$A$44,_xlfn.SWITCH(WEEKDAY($D34, 2), 1, "Monday", 2, "Tuesday", 3, "Wednesday", 4, "Thursday", 5, "Friday", 6, "Saturday", 7, "Sunday"),0)</f>
        <v>Wednesday</v>
      </c>
      <c r="D34" s="30">
        <f t="shared" si="0"/>
        <v>4</v>
      </c>
      <c r="E34" s="72">
        <f t="shared" si="2"/>
        <v>45896</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0.30833333333333335</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73" t="str">
        <f t="shared" si="12"/>
        <v>0</v>
      </c>
      <c r="N34" s="25" t="str">
        <f t="shared" si="5"/>
        <v>0:</v>
      </c>
      <c r="O34" s="56" t="str">
        <f t="shared" si="6"/>
        <v>0</v>
      </c>
      <c r="P34" s="57">
        <f t="shared" si="10"/>
        <v>0</v>
      </c>
      <c r="Q34" s="31">
        <f t="shared" si="13"/>
        <v>0</v>
      </c>
      <c r="R34" s="100"/>
      <c r="S34" s="10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5.75" x14ac:dyDescent="0.25">
      <c r="A35" s="7">
        <f t="shared" si="1"/>
        <v>35</v>
      </c>
      <c r="B35" s="8">
        <f t="shared" si="9"/>
        <v>45897</v>
      </c>
      <c r="C35" s="9" t="str" cm="1">
        <f t="array" ref="C35">_xlfn.XLOOKUP(E35,Masterdata!$B$31:$B$44,Masterdata!$A$31:$A$44,_xlfn.SWITCH(WEEKDAY($D35, 2), 1, "Monday", 2, "Tuesday", 3, "Wednesday", 4, "Thursday", 5, "Friday", 6, "Saturday", 7, "Sunday"),0)</f>
        <v>Thursday</v>
      </c>
      <c r="D35" s="30">
        <f t="shared" si="0"/>
        <v>5</v>
      </c>
      <c r="E35" s="72">
        <f t="shared" si="2"/>
        <v>45897</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0.30833333333333335</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73" t="str">
        <f t="shared" si="12"/>
        <v>0</v>
      </c>
      <c r="N35" s="25" t="str">
        <f t="shared" si="5"/>
        <v>0:</v>
      </c>
      <c r="O35" s="56" t="str">
        <f t="shared" si="6"/>
        <v>0</v>
      </c>
      <c r="P35" s="57">
        <f t="shared" si="10"/>
        <v>0</v>
      </c>
      <c r="Q35" s="31">
        <f t="shared" si="13"/>
        <v>0</v>
      </c>
      <c r="R35" s="100"/>
      <c r="S35" s="10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15.75" x14ac:dyDescent="0.25">
      <c r="A36" s="7">
        <f t="shared" si="1"/>
        <v>35</v>
      </c>
      <c r="B36" s="8">
        <f t="shared" si="9"/>
        <v>45898</v>
      </c>
      <c r="C36" s="9" t="str" cm="1">
        <f t="array" ref="C36">_xlfn.XLOOKUP(E36,Masterdata!$B$31:$B$44,Masterdata!$A$31:$A$44,_xlfn.SWITCH(WEEKDAY($D36, 2), 1, "Monday", 2, "Tuesday", 3, "Wednesday", 4, "Thursday", 5, "Friday", 6, "Saturday", 7, "Sunday"),0)</f>
        <v>Friday</v>
      </c>
      <c r="D36" s="30">
        <f t="shared" si="0"/>
        <v>6</v>
      </c>
      <c r="E36" s="72">
        <f t="shared" si="2"/>
        <v>45898</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0.30833333333333335</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73" t="str">
        <f t="shared" si="12"/>
        <v>0</v>
      </c>
      <c r="N36" s="25" t="str">
        <f t="shared" si="5"/>
        <v>0:</v>
      </c>
      <c r="O36" s="56" t="str">
        <f t="shared" si="6"/>
        <v>0</v>
      </c>
      <c r="P36" s="57">
        <f t="shared" si="10"/>
        <v>0</v>
      </c>
      <c r="Q36" s="31">
        <f t="shared" si="13"/>
        <v>0</v>
      </c>
      <c r="R36" s="100"/>
      <c r="S36" s="10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ht="15.75" x14ac:dyDescent="0.25">
      <c r="A37" s="7">
        <f t="shared" si="1"/>
        <v>35</v>
      </c>
      <c r="B37" s="8">
        <f t="shared" si="9"/>
        <v>45899</v>
      </c>
      <c r="C37" s="9" t="str" cm="1">
        <f t="array" ref="C37">_xlfn.XLOOKUP(E37,Masterdata!$B$31:$B$44,Masterdata!$A$31:$A$44,_xlfn.SWITCH(WEEKDAY($D37, 2), 1, "Monday", 2, "Tuesday", 3, "Wednesday", 4, "Thursday", 5, "Friday", 6, "Saturday", 7, "Sunday"),0)</f>
        <v>Saturday</v>
      </c>
      <c r="D37" s="30">
        <f t="shared" si="0"/>
        <v>7</v>
      </c>
      <c r="E37" s="72">
        <f t="shared" si="2"/>
        <v>45899</v>
      </c>
      <c r="F37" s="10" t="s">
        <v>18</v>
      </c>
      <c r="G37" s="12">
        <f>IF(AND(F37="N",NOT(OR($C37="Monday", $C37="Tuesday",$C37="Wednesday",$C37="Thursday",$C37="Friday"))),0,IFERROR(
    IF($F37="N", $W$9,
        IF(OR(
            AND(Masterdata!$B$4&lt;&gt;DATE(1900,1,0), Masterdata!$B$4&lt;$E37),
            AND(Masterdata!$B$3&lt;&gt;DATE(1900,1,0), Masterdata!$B$3&gt;$E37)
        ),
        IF($H37&gt;=TIME(0,0,0), "Type in next cell", 0),
        IF($H37&gt;=TIME(0,0,0), "Type in next cell",
            IF($H37&gt;=0, 0,
                IF(NOT(OR($C37="Monday", $C37="Tuesday",$C37="Wednesday",$C37="Thursday",$C37="Friday")), 0, 0)
            )
        )
    )),
"Type in next cell"))</f>
        <v>0</v>
      </c>
      <c r="H37" s="11">
        <v>0</v>
      </c>
      <c r="I37" s="11">
        <v>0</v>
      </c>
      <c r="J37" s="11">
        <v>0</v>
      </c>
      <c r="K37" s="27" t="str">
        <f t="shared" si="3"/>
        <v>00:00</v>
      </c>
      <c r="L37" s="27" t="str">
        <f>IF(F37="N","0:00",IF(
OR(
AND(Masterdata!$B$4&lt;&gt;DATE(1900,1,0),Masterdata!$B$4&lt;$E37),
AND(Masterdata!$B$3&lt;&gt;DATE(1900,1,0),Masterdata!$B$3&gt;$E37)
),
"0:00",
IF(
$H37&gt;TIME(0,0,0),
IF(
NOT(OR($C37="Monday", $C37="Tuesday",$C37="Wednesday",$C37="Thursday",$C37="Friday")),
TEXT($H37,"[tt]:mm"),
IF($H37-$W$9&gt;=0,TEXT($H37-$W$9,"[tt]:mm"),"-"&amp;TEXT(ABS($H37-$W$9),"[tt]:mm"))
),
IF(
NOT(OR($C37="Monday", $C37="Tuesday",$C37="Wednesday",$C37="Thursday",$C37="Friday")),
IF($J37-$I37&gt;=0,TEXT($J37-$I37,"[tt]:mm"),"-"&amp;TEXT(ABS($J37-$I37),"[tt]:mm")),
IFERROR(
IF($G37-$W$9=0,
IF($G37-$W$9&gt;=0,TEXT($G37-$W$9,"[tt]:mm"),"-"&amp;TEXT(ABS($G37-$W$9),"[tt]:mm")),
IF($J37-$I37&gt;=0,TEXT($J37-$I37,"[tt]:mm"),"-"&amp;TEXT(ABS($J37-$I37),"[tt]:mm"))
),
IF(
$J37-$I37-$W$9&gt;=0,
TEXT($J37-$I37-$W$9,"[tt]:mm"),
"-"&amp;TEXT(ABS($J37-$I37-$W$9),"[tt]:mm")
)
)
)
)
))</f>
        <v>0:00</v>
      </c>
      <c r="M37" s="73" t="str">
        <f t="shared" si="12"/>
        <v>0</v>
      </c>
      <c r="N37" s="25" t="str">
        <f t="shared" si="5"/>
        <v>0:</v>
      </c>
      <c r="O37" s="56" t="str">
        <f t="shared" si="6"/>
        <v>0</v>
      </c>
      <c r="P37" s="57">
        <f t="shared" si="10"/>
        <v>0</v>
      </c>
      <c r="Q37" s="31">
        <f t="shared" si="13"/>
        <v>0</v>
      </c>
      <c r="R37" s="100"/>
      <c r="S37" s="10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15.75" x14ac:dyDescent="0.25">
      <c r="A38" s="7">
        <f t="shared" si="1"/>
        <v>35</v>
      </c>
      <c r="B38" s="8">
        <f t="shared" si="9"/>
        <v>45900</v>
      </c>
      <c r="C38" s="9" t="str" cm="1">
        <f t="array" ref="C38">_xlfn.XLOOKUP(E38,Masterdata!$B$31:$B$44,Masterdata!$A$31:$A$44,_xlfn.SWITCH(WEEKDAY($D38, 2), 1, "Monday", 2, "Tuesday", 3, "Wednesday", 4, "Thursday", 5, "Friday", 6, "Saturday", 7, "Sunday"),0)</f>
        <v>Sunday</v>
      </c>
      <c r="D38" s="30">
        <f t="shared" si="0"/>
        <v>8</v>
      </c>
      <c r="E38" s="72">
        <f t="shared" si="2"/>
        <v>45900</v>
      </c>
      <c r="F38" s="10" t="s">
        <v>18</v>
      </c>
      <c r="G38" s="12">
        <f>IF(AND(F38="N",NOT(OR($C38="Monday", $C38="Tuesday",$C38="Wednesday",$C38="Thursday",$C38="Friday"))),0,IFERROR(
    IF($F38="N", $W$9,
        IF(OR(
            AND(Masterdata!$B$4&lt;&gt;DATE(1900,1,0), Masterdata!$B$4&lt;$E38),
            AND(Masterdata!$B$3&lt;&gt;DATE(1900,1,0), Masterdata!$B$3&gt;$E38)
        ),
        IF($H38&gt;=TIME(0,0,0), "Type in next cell", 0),
        IF($H38&gt;=TIME(0,0,0), "Type in next cell",
            IF($H38&gt;=0, 0,
                IF(NOT(OR($C38="Monday", $C38="Tuesday",$C38="Wednesday",$C38="Thursday",$C38="Friday")), 0, 0)
            )
        )
    )),
"Type in next cell"))</f>
        <v>0</v>
      </c>
      <c r="H38" s="11">
        <v>0</v>
      </c>
      <c r="I38" s="11">
        <v>0</v>
      </c>
      <c r="J38" s="11">
        <v>0</v>
      </c>
      <c r="K38" s="27" t="str">
        <f t="shared" si="3"/>
        <v>00:00</v>
      </c>
      <c r="L38" s="27" t="str">
        <f>IF(F38="N","0:00",IF(
OR(
AND(Masterdata!$B$4&lt;&gt;DATE(1900,1,0),Masterdata!$B$4&lt;$E38),
AND(Masterdata!$B$3&lt;&gt;DATE(1900,1,0),Masterdata!$B$3&gt;$E38)
),
"0:00",
IF(
$H38&gt;TIME(0,0,0),
IF(
NOT(OR($C38="Monday", $C38="Tuesday",$C38="Wednesday",$C38="Thursday",$C38="Friday")),
TEXT($H38,"[tt]:mm"),
IF($H38-$W$9&gt;=0,TEXT($H38-$W$9,"[tt]:mm"),"-"&amp;TEXT(ABS($H38-$W$9),"[tt]:mm"))
),
IF(
NOT(OR($C38="Monday", $C38="Tuesday",$C38="Wednesday",$C38="Thursday",$C38="Friday")),
IF($J38-$I38&gt;=0,TEXT($J38-$I38,"[tt]:mm"),"-"&amp;TEXT(ABS($J38-$I38),"[tt]:mm")),
IFERROR(
IF($G38-$W$9=0,
IF($G38-$W$9&gt;=0,TEXT($G38-$W$9,"[tt]:mm"),"-"&amp;TEXT(ABS($G38-$W$9),"[tt]:mm")),
IF($J38-$I38&gt;=0,TEXT($J38-$I38,"[tt]:mm"),"-"&amp;TEXT(ABS($J38-$I38),"[tt]:mm"))
),
IF(
$J38-$I38-$W$9&gt;=0,
TEXT($J38-$I38-$W$9,"[tt]:mm"),
"-"&amp;TEXT(ABS($J38-$I38-$W$9),"[tt]:mm")
)
)
)
)
))</f>
        <v>0:00</v>
      </c>
      <c r="M38" s="73" t="str">
        <f t="shared" si="12"/>
        <v>0</v>
      </c>
      <c r="N38" s="25" t="str">
        <f t="shared" si="5"/>
        <v>0:</v>
      </c>
      <c r="O38" s="56" t="str">
        <f t="shared" si="6"/>
        <v>0</v>
      </c>
      <c r="P38" s="57">
        <f t="shared" si="10"/>
        <v>0</v>
      </c>
      <c r="Q38" s="31">
        <f t="shared" si="13"/>
        <v>0</v>
      </c>
      <c r="R38" s="100"/>
      <c r="S38" s="10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5.75" x14ac:dyDescent="0.25">
      <c r="A39" s="30"/>
      <c r="B39" s="30"/>
      <c r="C39" s="30"/>
      <c r="D39" s="30"/>
      <c r="E39" s="30"/>
      <c r="F39" s="30"/>
      <c r="G39" s="30"/>
      <c r="H39" s="30"/>
      <c r="I39" s="30"/>
      <c r="J39" s="30"/>
      <c r="K39" s="30"/>
      <c r="L39" s="75"/>
      <c r="M39" s="30"/>
      <c r="N39" s="30"/>
      <c r="O39" s="30"/>
      <c r="P39" s="30"/>
      <c r="Q39" s="31">
        <f>SUM(Q8:Q38)</f>
        <v>0</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15.7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5.7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15.7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ht="15.7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ht="15.7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ht="15.7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ht="15.7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row>
    <row r="50" spans="1:44" ht="15.7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ht="15.7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7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1:44" ht="15.7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44" ht="15.7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ht="15.7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44" ht="15.7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ht="15.7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ht="15.7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ht="15.7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ht="15.7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ht="15.7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ht="15.7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15.7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row>
    <row r="64" spans="1:44" ht="15.7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row>
    <row r="65" spans="1:44" ht="15.7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15.7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5.7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row>
    <row r="68" spans="1:44" ht="15.7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ht="15.7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row>
    <row r="70" spans="1:44" ht="15.7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ht="15.7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15.7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ht="15.7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ht="15.7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ht="15.7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row>
    <row r="76" spans="1:44" ht="15.7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ht="15.75"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row>
  </sheetData>
  <sheetProtection algorithmName="SHA-512" hashValue="L0rD7IIhUix12fZS7GRXFmcfWjUnVLoBqTQQpPx1VxcUOa/mLjTYBxGeWWNUtmVd2AT2OakXT6AxqefWEkCNMQ==" saltValue="/36DozMN1+KnxcIIprtjKg==" spinCount="100000" sheet="1" objects="1" scenarios="1"/>
  <mergeCells count="37">
    <mergeCell ref="R7:S7"/>
    <mergeCell ref="R1:S1"/>
    <mergeCell ref="R2:S2"/>
    <mergeCell ref="R3:S3"/>
    <mergeCell ref="R4:S4"/>
    <mergeCell ref="R5:S5"/>
    <mergeCell ref="R19:S19"/>
    <mergeCell ref="R8:S8"/>
    <mergeCell ref="R9:S9"/>
    <mergeCell ref="R10:S10"/>
    <mergeCell ref="R11:S11"/>
    <mergeCell ref="R12:S12"/>
    <mergeCell ref="R13:S13"/>
    <mergeCell ref="R14:S14"/>
    <mergeCell ref="R15:S15"/>
    <mergeCell ref="R16:S16"/>
    <mergeCell ref="R17:S17"/>
    <mergeCell ref="R18:S18"/>
    <mergeCell ref="R31:S31"/>
    <mergeCell ref="R20:S20"/>
    <mergeCell ref="R21:S21"/>
    <mergeCell ref="R22:S22"/>
    <mergeCell ref="R23:S23"/>
    <mergeCell ref="R24:S24"/>
    <mergeCell ref="R25:S25"/>
    <mergeCell ref="R26:S26"/>
    <mergeCell ref="R27:S27"/>
    <mergeCell ref="R28:S28"/>
    <mergeCell ref="R29:S29"/>
    <mergeCell ref="R30:S30"/>
    <mergeCell ref="R38:S38"/>
    <mergeCell ref="R32:S32"/>
    <mergeCell ref="R33:S33"/>
    <mergeCell ref="R34:S34"/>
    <mergeCell ref="R35:S35"/>
    <mergeCell ref="R36:S36"/>
    <mergeCell ref="R37:S37"/>
  </mergeCells>
  <conditionalFormatting sqref="A8:G38">
    <cfRule type="expression" dxfId="19" priority="2">
      <formula>NOT(OR($C8="Monday", $C8="Tuesday",$C8="Wednesday",$C8="Thursday",$C8="Friday"))</formula>
    </cfRule>
  </conditionalFormatting>
  <conditionalFormatting sqref="G8:G38">
    <cfRule type="expression" dxfId="18" priority="4">
      <formula>AND($F8="N", (OR($C8="Monday", $C8="Tuesday",$C8="Wednesday",$C8="Thursday",$C8="Friday")))</formula>
    </cfRule>
  </conditionalFormatting>
  <conditionalFormatting sqref="H8:J38">
    <cfRule type="expression" dxfId="17" priority="1">
      <formula>OR($F8="N")</formula>
    </cfRule>
    <cfRule type="expression" dxfId="16" priority="3">
      <formula>$F8="R"</formula>
    </cfRule>
  </conditionalFormatting>
  <dataValidations count="1">
    <dataValidation type="list" allowBlank="1" showInputMessage="1" showErrorMessage="1" sqref="F8:F38" xr:uid="{0AE9C7D6-659B-4104-B4B9-E43F9A73E2C9}">
      <formula1>$L$3:$L$4</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DFE0D-80C2-414D-932F-D76F2FEDF475}">
  <dimension ref="A1:AR77"/>
  <sheetViews>
    <sheetView zoomScale="70" zoomScaleNormal="70" workbookViewId="0">
      <selection activeCell="C1" sqref="C1"/>
    </sheetView>
  </sheetViews>
  <sheetFormatPr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6" width="7.5703125" hidden="1" customWidth="1" outlineLevel="1"/>
    <col min="17" max="17" width="2"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9.140625" collapsed="1"/>
  </cols>
  <sheetData>
    <row r="1" spans="1:44"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51"/>
      <c r="U1" s="51"/>
      <c r="V1" s="51"/>
      <c r="W1" s="30"/>
      <c r="X1" s="30"/>
      <c r="Y1" s="30"/>
      <c r="Z1" s="30"/>
      <c r="AA1" s="30"/>
      <c r="AB1" s="30"/>
      <c r="AC1" s="30"/>
      <c r="AD1" s="30"/>
      <c r="AE1" s="30"/>
      <c r="AF1" s="30"/>
      <c r="AG1" s="30"/>
      <c r="AH1" s="30"/>
      <c r="AI1" s="30"/>
      <c r="AJ1" s="30"/>
      <c r="AK1" s="30"/>
      <c r="AL1" s="30"/>
      <c r="AM1" s="30"/>
      <c r="AN1" s="30"/>
      <c r="AO1" s="30"/>
      <c r="AP1" s="30"/>
      <c r="AQ1" s="30"/>
      <c r="AR1" s="30"/>
    </row>
    <row r="2" spans="1:44" ht="16.5" x14ac:dyDescent="0.3">
      <c r="A2" s="44" t="s">
        <v>92</v>
      </c>
      <c r="B2" s="71" t="str">
        <f>Masterdata!$D$27</f>
        <v>00:00</v>
      </c>
      <c r="C2" s="30"/>
      <c r="D2" s="30"/>
      <c r="E2" s="30"/>
      <c r="F2" s="30"/>
      <c r="G2" s="30"/>
      <c r="H2" s="30"/>
      <c r="I2" s="30"/>
      <c r="J2" s="30"/>
      <c r="K2" s="30"/>
      <c r="L2" s="90"/>
      <c r="R2" s="106"/>
      <c r="S2" s="107"/>
      <c r="T2" s="51"/>
      <c r="U2" s="51"/>
      <c r="V2" s="51"/>
      <c r="W2" s="30"/>
      <c r="X2" s="30"/>
      <c r="Y2" s="30"/>
      <c r="Z2" s="30"/>
      <c r="AA2" s="30"/>
      <c r="AB2" s="30"/>
      <c r="AC2" s="30"/>
      <c r="AD2" s="30"/>
      <c r="AE2" s="30"/>
      <c r="AF2" s="30"/>
      <c r="AG2" s="30"/>
      <c r="AH2" s="30"/>
      <c r="AI2" s="30"/>
      <c r="AJ2" s="30"/>
      <c r="AK2" s="30"/>
      <c r="AL2" s="30"/>
      <c r="AM2" s="30"/>
      <c r="AN2" s="30"/>
      <c r="AO2" s="30"/>
      <c r="AP2" s="30"/>
      <c r="AQ2" s="30"/>
      <c r="AR2" s="30"/>
    </row>
    <row r="3" spans="1:44" ht="31.5" customHeight="1" x14ac:dyDescent="0.25">
      <c r="A3" s="47" t="s">
        <v>109</v>
      </c>
      <c r="B3" s="71" t="str">
        <f>IF(Q38&lt;0,"-"&amp;TEXT(ABS(Q38/24),"[tt]:mm"),TEXT(Q38/24,"[tt]:mm"))</f>
        <v>00:00</v>
      </c>
      <c r="C3" s="30"/>
      <c r="D3" s="30"/>
      <c r="E3" s="30"/>
      <c r="F3" s="30"/>
      <c r="G3" s="30"/>
      <c r="H3" s="30"/>
      <c r="I3" s="30"/>
      <c r="J3" s="30"/>
      <c r="K3" s="30"/>
      <c r="L3" s="91" t="s">
        <v>18</v>
      </c>
      <c r="R3" s="108" t="s">
        <v>130</v>
      </c>
      <c r="S3" s="109"/>
      <c r="T3" s="52"/>
      <c r="U3" s="52"/>
      <c r="V3" s="52"/>
      <c r="W3" s="30"/>
      <c r="X3" s="30"/>
      <c r="Y3" s="30"/>
      <c r="Z3" s="30"/>
      <c r="AA3" s="30"/>
      <c r="AB3" s="30"/>
      <c r="AC3" s="30"/>
      <c r="AD3" s="30"/>
      <c r="AE3" s="30"/>
      <c r="AF3" s="30"/>
      <c r="AG3" s="30"/>
      <c r="AH3" s="30"/>
      <c r="AI3" s="30"/>
      <c r="AJ3" s="30"/>
      <c r="AK3" s="30"/>
      <c r="AL3" s="30"/>
      <c r="AM3" s="30"/>
      <c r="AN3" s="30"/>
      <c r="AO3" s="30"/>
      <c r="AP3" s="30"/>
      <c r="AQ3" s="30"/>
      <c r="AR3" s="30"/>
    </row>
    <row r="4" spans="1:44" ht="54.95" customHeight="1" x14ac:dyDescent="0.25">
      <c r="A4" s="17" t="s">
        <v>110</v>
      </c>
      <c r="B4" s="48">
        <f>Masterdata!$B$5</f>
        <v>2025</v>
      </c>
      <c r="C4" s="30"/>
      <c r="D4" s="30"/>
      <c r="E4" s="30"/>
      <c r="F4" s="30"/>
      <c r="G4" s="30"/>
      <c r="H4" s="30"/>
      <c r="I4" s="30"/>
      <c r="J4" s="30"/>
      <c r="K4" s="30"/>
      <c r="L4" s="92" t="s">
        <v>19</v>
      </c>
      <c r="R4" s="110" t="s">
        <v>132</v>
      </c>
      <c r="S4" s="111"/>
      <c r="T4" s="53"/>
      <c r="U4" s="53"/>
      <c r="V4" s="53"/>
      <c r="W4" s="30"/>
      <c r="X4" s="30"/>
      <c r="Y4" s="30"/>
      <c r="Z4" s="30"/>
      <c r="AA4" s="30"/>
      <c r="AB4" s="30"/>
      <c r="AC4" s="30"/>
      <c r="AD4" s="30"/>
      <c r="AE4" s="30"/>
      <c r="AF4" s="30"/>
      <c r="AG4" s="30"/>
      <c r="AH4" s="30"/>
      <c r="AI4" s="30"/>
      <c r="AJ4" s="30"/>
      <c r="AK4" s="30"/>
      <c r="AL4" s="30"/>
      <c r="AM4" s="30"/>
      <c r="AN4" s="30"/>
      <c r="AO4" s="30"/>
      <c r="AP4" s="30"/>
      <c r="AQ4" s="30"/>
      <c r="AR4" s="30"/>
    </row>
    <row r="5" spans="1:44" ht="16.5" thickBot="1" x14ac:dyDescent="0.3">
      <c r="A5" s="13" t="s">
        <v>89</v>
      </c>
      <c r="B5" s="18" t="s">
        <v>13</v>
      </c>
      <c r="C5" s="30"/>
      <c r="D5" s="30"/>
      <c r="E5" s="30"/>
      <c r="F5" s="30"/>
      <c r="G5" s="30"/>
      <c r="H5" s="30"/>
      <c r="I5" s="30"/>
      <c r="J5" s="30"/>
      <c r="K5" s="30"/>
      <c r="L5" s="93" t="s">
        <v>118</v>
      </c>
      <c r="M5" s="94"/>
      <c r="N5" s="94"/>
      <c r="O5" s="94"/>
      <c r="P5" s="94"/>
      <c r="Q5" s="94"/>
      <c r="R5" s="112" t="s">
        <v>119</v>
      </c>
      <c r="S5" s="113"/>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6.5" thickBot="1"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Q7" s="30"/>
      <c r="R7" s="102" t="s">
        <v>121</v>
      </c>
      <c r="S7" s="103"/>
      <c r="T7" s="30"/>
      <c r="U7" s="30"/>
      <c r="V7" s="30" t="s">
        <v>27</v>
      </c>
      <c r="W7" s="30">
        <v>5</v>
      </c>
      <c r="X7" s="30"/>
      <c r="Y7" s="30"/>
      <c r="Z7" s="30"/>
      <c r="AA7" s="30"/>
      <c r="AB7" s="30"/>
      <c r="AC7" s="30"/>
      <c r="AD7" s="30"/>
      <c r="AE7" s="30"/>
      <c r="AF7" s="30"/>
      <c r="AG7" s="30"/>
      <c r="AH7" s="30"/>
      <c r="AI7" s="30"/>
      <c r="AJ7" s="30"/>
      <c r="AK7" s="30"/>
      <c r="AL7" s="30"/>
      <c r="AM7" s="30"/>
      <c r="AN7" s="30"/>
      <c r="AO7" s="30"/>
      <c r="AP7" s="30"/>
      <c r="AQ7" s="30"/>
      <c r="AR7" s="30"/>
    </row>
    <row r="8" spans="1:44" ht="15.75" x14ac:dyDescent="0.25">
      <c r="A8" s="7">
        <f>WEEKNUM($B8,21)</f>
        <v>36</v>
      </c>
      <c r="B8" s="8">
        <f>DATE(Masterdata!$B$5,9,1)</f>
        <v>45901</v>
      </c>
      <c r="C8" s="9" t="str" cm="1">
        <f t="array" ref="C8">_xlfn.XLOOKUP(E8,Masterdata!$B$31:$B$44,Masterdata!$A$31:$A$44,_xlfn.SWITCH(WEEKDAY($D8, 2), 1, "Monday", 2, "Tuesday", 3, "Wednesday", 4, "Thursday", 5, "Friday", 6, "Saturday", 7, "Sunday"),0)</f>
        <v>Monday</v>
      </c>
      <c r="D8" s="30">
        <f t="shared" ref="D8:D37" si="0">WEEKDAY($B8, 2)+1</f>
        <v>2</v>
      </c>
      <c r="E8" s="72">
        <f>$B8</f>
        <v>45901</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0.30833333333333335</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73" t="str">
        <f>LEFT(L8,1)</f>
        <v>0</v>
      </c>
      <c r="N8" s="25" t="str">
        <f>IF($M8="-",LEFT($L8,3),LEFT($L8,2))</f>
        <v>0:</v>
      </c>
      <c r="O8" s="56" t="str">
        <f>IF($M8="-",MID($L8,5,2),MID($L8,4,2))</f>
        <v>0</v>
      </c>
      <c r="P8" s="57">
        <f>O8/60</f>
        <v>0</v>
      </c>
      <c r="Q8" s="31">
        <f>IF(M8="-",N8-P8,N8+P8)</f>
        <v>0</v>
      </c>
      <c r="R8" s="101"/>
      <c r="S8" s="101"/>
      <c r="T8" s="30"/>
      <c r="U8" s="30"/>
      <c r="V8" s="30" t="s">
        <v>28</v>
      </c>
      <c r="W8" s="74">
        <f>B1/W7</f>
        <v>7.4</v>
      </c>
      <c r="X8" s="30">
        <v>0</v>
      </c>
      <c r="Y8" s="75"/>
      <c r="Z8" s="30"/>
      <c r="AA8" s="30"/>
      <c r="AB8" s="30"/>
      <c r="AC8" s="30"/>
      <c r="AD8" s="30"/>
      <c r="AE8" s="30"/>
      <c r="AF8" s="30"/>
      <c r="AG8" s="30"/>
      <c r="AH8" s="30"/>
      <c r="AI8" s="30"/>
      <c r="AJ8" s="30"/>
      <c r="AK8" s="30"/>
      <c r="AL8" s="30"/>
      <c r="AM8" s="30"/>
      <c r="AN8" s="30"/>
      <c r="AO8" s="30"/>
      <c r="AP8" s="30"/>
      <c r="AQ8" s="30"/>
      <c r="AR8" s="30"/>
    </row>
    <row r="9" spans="1:44" ht="15.75" x14ac:dyDescent="0.25">
      <c r="A9" s="7">
        <f t="shared" ref="A9:A37" si="1">WEEKNUM($B9,21)</f>
        <v>36</v>
      </c>
      <c r="B9" s="8">
        <f>B8+1</f>
        <v>45902</v>
      </c>
      <c r="C9" s="9" t="str" cm="1">
        <f t="array" ref="C9">_xlfn.XLOOKUP(E9,Masterdata!$B$31:$B$44,Masterdata!$A$31:$A$44,_xlfn.SWITCH(WEEKDAY($D9, 2), 1, "Monday", 2, "Tuesday", 3, "Wednesday", 4, "Thursday", 5, "Friday", 6, "Saturday", 7, "Sunday"),0)</f>
        <v>Tuesday</v>
      </c>
      <c r="D9" s="30">
        <f t="shared" si="0"/>
        <v>3</v>
      </c>
      <c r="E9" s="72">
        <f t="shared" ref="E9:E37" si="2">$B9</f>
        <v>45902</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0.30833333333333335</v>
      </c>
      <c r="H9" s="11">
        <v>0</v>
      </c>
      <c r="I9" s="11">
        <v>0</v>
      </c>
      <c r="J9" s="11">
        <v>0</v>
      </c>
      <c r="K9" s="27" t="str">
        <f t="shared" ref="K9:K37"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73" t="str">
        <f t="shared" ref="M9:M19" si="4">LEFT(L9,1)</f>
        <v>0</v>
      </c>
      <c r="N9" s="25" t="str">
        <f t="shared" ref="N9:N37" si="5">IF($M9="-",LEFT($L9,3),LEFT($L9,2))</f>
        <v>0:</v>
      </c>
      <c r="O9" s="56" t="str">
        <f t="shared" ref="O9:O37" si="6">IF($M9="-",MID($L9,5,2),MID($L9,4,2))</f>
        <v>0</v>
      </c>
      <c r="P9" s="57">
        <f t="shared" ref="P9:P13" si="7">O9/60</f>
        <v>0</v>
      </c>
      <c r="Q9" s="31">
        <f t="shared" ref="Q9:Q13" si="8">IF(M9="-",N9-P9,N9+P9)</f>
        <v>0</v>
      </c>
      <c r="R9" s="101"/>
      <c r="S9" s="101"/>
      <c r="T9" s="30"/>
      <c r="U9" s="30"/>
      <c r="V9" s="30" t="s">
        <v>29</v>
      </c>
      <c r="W9" s="75">
        <f>W8/24</f>
        <v>0.30833333333333335</v>
      </c>
      <c r="X9" s="30"/>
      <c r="Y9" s="30"/>
      <c r="Z9" s="30"/>
      <c r="AA9" s="30"/>
      <c r="AB9" s="30"/>
      <c r="AC9" s="30"/>
      <c r="AD9" s="30"/>
      <c r="AE9" s="30"/>
      <c r="AF9" s="30"/>
      <c r="AG9" s="30"/>
      <c r="AH9" s="30"/>
      <c r="AI9" s="30"/>
      <c r="AJ9" s="30"/>
      <c r="AK9" s="30"/>
      <c r="AL9" s="30"/>
      <c r="AM9" s="30"/>
      <c r="AN9" s="30"/>
      <c r="AO9" s="30"/>
      <c r="AP9" s="30"/>
      <c r="AQ9" s="30"/>
      <c r="AR9" s="30"/>
    </row>
    <row r="10" spans="1:44" ht="15.75" x14ac:dyDescent="0.25">
      <c r="A10" s="7">
        <f t="shared" si="1"/>
        <v>36</v>
      </c>
      <c r="B10" s="8">
        <f t="shared" ref="B10:B37" si="9">B9+1</f>
        <v>45903</v>
      </c>
      <c r="C10" s="9" t="str" cm="1">
        <f t="array" ref="C10">_xlfn.XLOOKUP(E10,Masterdata!$B$31:$B$44,Masterdata!$A$31:$A$44,_xlfn.SWITCH(WEEKDAY($D10, 2), 1, "Monday", 2, "Tuesday", 3, "Wednesday", 4, "Thursday", 5, "Friday", 6, "Saturday", 7, "Sunday"),0)</f>
        <v>Wednesday</v>
      </c>
      <c r="D10" s="30">
        <f t="shared" si="0"/>
        <v>4</v>
      </c>
      <c r="E10" s="72">
        <f t="shared" si="2"/>
        <v>45903</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0.30833333333333335</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73" t="str">
        <f t="shared" si="4"/>
        <v>0</v>
      </c>
      <c r="N10" s="25" t="str">
        <f t="shared" si="5"/>
        <v>0:</v>
      </c>
      <c r="O10" s="56" t="str">
        <f t="shared" si="6"/>
        <v>0</v>
      </c>
      <c r="P10" s="57">
        <f t="shared" si="7"/>
        <v>0</v>
      </c>
      <c r="Q10" s="31">
        <f t="shared" si="8"/>
        <v>0</v>
      </c>
      <c r="R10" s="101"/>
      <c r="S10" s="101"/>
      <c r="T10" s="30" t="s">
        <v>18</v>
      </c>
      <c r="U10" s="30" t="s">
        <v>30</v>
      </c>
      <c r="V10" s="30" t="s">
        <v>31</v>
      </c>
      <c r="W10" s="31">
        <f>(B1/37)*160.33</f>
        <v>160.33000000000001</v>
      </c>
      <c r="X10" s="30"/>
      <c r="Y10" s="30"/>
      <c r="Z10" s="30"/>
      <c r="AA10" s="30"/>
      <c r="AB10" s="30"/>
      <c r="AC10" s="30"/>
      <c r="AD10" s="30"/>
      <c r="AE10" s="30"/>
      <c r="AF10" s="30"/>
      <c r="AG10" s="30"/>
      <c r="AH10" s="30"/>
      <c r="AI10" s="30"/>
      <c r="AJ10" s="30"/>
      <c r="AK10" s="30"/>
      <c r="AL10" s="30"/>
      <c r="AM10" s="30"/>
      <c r="AN10" s="30"/>
      <c r="AO10" s="30"/>
      <c r="AP10" s="30"/>
      <c r="AQ10" s="30"/>
      <c r="AR10" s="30"/>
    </row>
    <row r="11" spans="1:44" ht="15.75" x14ac:dyDescent="0.25">
      <c r="A11" s="7">
        <f t="shared" si="1"/>
        <v>36</v>
      </c>
      <c r="B11" s="8">
        <f t="shared" si="9"/>
        <v>45904</v>
      </c>
      <c r="C11" s="9" t="str" cm="1">
        <f t="array" ref="C11">_xlfn.XLOOKUP(E11,Masterdata!$B$31:$B$44,Masterdata!$A$31:$A$44,_xlfn.SWITCH(WEEKDAY($D11, 2), 1, "Monday", 2, "Tuesday", 3, "Wednesday", 4, "Thursday", 5, "Friday", 6, "Saturday", 7, "Sunday"),0)</f>
        <v>Thursday</v>
      </c>
      <c r="D11" s="30">
        <f t="shared" si="0"/>
        <v>5</v>
      </c>
      <c r="E11" s="72">
        <f t="shared" si="2"/>
        <v>45904</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0.30833333333333335</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73" t="str">
        <f t="shared" si="4"/>
        <v>0</v>
      </c>
      <c r="N11" s="25" t="str">
        <f t="shared" si="5"/>
        <v>0:</v>
      </c>
      <c r="O11" s="56" t="str">
        <f t="shared" si="6"/>
        <v>0</v>
      </c>
      <c r="P11" s="57">
        <f t="shared" si="7"/>
        <v>0</v>
      </c>
      <c r="Q11" s="31">
        <f t="shared" si="8"/>
        <v>0</v>
      </c>
      <c r="R11" s="101"/>
      <c r="S11" s="10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75" x14ac:dyDescent="0.25">
      <c r="A12" s="7">
        <f t="shared" si="1"/>
        <v>36</v>
      </c>
      <c r="B12" s="8">
        <f t="shared" si="9"/>
        <v>45905</v>
      </c>
      <c r="C12" s="9" t="str" cm="1">
        <f t="array" ref="C12">_xlfn.XLOOKUP(E12,Masterdata!$B$31:$B$44,Masterdata!$A$31:$A$44,_xlfn.SWITCH(WEEKDAY($D12, 2), 1, "Monday", 2, "Tuesday", 3, "Wednesday", 4, "Thursday", 5, "Friday", 6, "Saturday", 7, "Sunday"),0)</f>
        <v>Friday</v>
      </c>
      <c r="D12" s="30">
        <f t="shared" si="0"/>
        <v>6</v>
      </c>
      <c r="E12" s="72">
        <f t="shared" si="2"/>
        <v>45905</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0.30833333333333335</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73" t="str">
        <f t="shared" si="4"/>
        <v>0</v>
      </c>
      <c r="N12" s="25" t="str">
        <f t="shared" si="5"/>
        <v>0:</v>
      </c>
      <c r="O12" s="56" t="str">
        <f t="shared" si="6"/>
        <v>0</v>
      </c>
      <c r="P12" s="57">
        <f t="shared" si="7"/>
        <v>0</v>
      </c>
      <c r="Q12" s="31">
        <f t="shared" si="8"/>
        <v>0</v>
      </c>
      <c r="R12" s="101"/>
      <c r="S12" s="101"/>
      <c r="T12" s="30"/>
      <c r="U12" s="30"/>
      <c r="V12" s="30"/>
      <c r="W12" s="31"/>
      <c r="X12" s="30"/>
      <c r="Y12" s="30"/>
      <c r="Z12" s="30"/>
      <c r="AA12" s="30"/>
      <c r="AB12" s="30"/>
      <c r="AC12" s="30"/>
      <c r="AD12" s="30"/>
      <c r="AE12" s="30"/>
      <c r="AF12" s="30"/>
      <c r="AG12" s="30"/>
      <c r="AH12" s="30"/>
      <c r="AI12" s="30"/>
      <c r="AJ12" s="30"/>
      <c r="AK12" s="30"/>
      <c r="AL12" s="30"/>
      <c r="AM12" s="30"/>
      <c r="AN12" s="30"/>
      <c r="AO12" s="30"/>
      <c r="AP12" s="30"/>
      <c r="AQ12" s="30"/>
      <c r="AR12" s="30"/>
    </row>
    <row r="13" spans="1:44" ht="15.75" x14ac:dyDescent="0.25">
      <c r="A13" s="7">
        <f t="shared" si="1"/>
        <v>36</v>
      </c>
      <c r="B13" s="8">
        <f t="shared" si="9"/>
        <v>45906</v>
      </c>
      <c r="C13" s="9" t="str" cm="1">
        <f t="array" ref="C13">_xlfn.XLOOKUP(E13,Masterdata!$B$31:$B$44,Masterdata!$A$31:$A$44,_xlfn.SWITCH(WEEKDAY($D13, 2), 1, "Monday", 2, "Tuesday", 3, "Wednesday", 4, "Thursday", 5, "Friday", 6, "Saturday", 7, "Sunday"),0)</f>
        <v>Saturday</v>
      </c>
      <c r="D13" s="30">
        <f t="shared" si="0"/>
        <v>7</v>
      </c>
      <c r="E13" s="72">
        <f t="shared" si="2"/>
        <v>45906</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73" t="str">
        <f t="shared" si="4"/>
        <v>0</v>
      </c>
      <c r="N13" s="25" t="str">
        <f t="shared" si="5"/>
        <v>0:</v>
      </c>
      <c r="O13" s="56" t="str">
        <f t="shared" si="6"/>
        <v>0</v>
      </c>
      <c r="P13" s="57">
        <f t="shared" si="7"/>
        <v>0</v>
      </c>
      <c r="Q13" s="31">
        <f t="shared" si="8"/>
        <v>0</v>
      </c>
      <c r="R13" s="100"/>
      <c r="S13" s="100"/>
      <c r="T13" s="30"/>
      <c r="U13" s="30"/>
      <c r="V13" s="30"/>
      <c r="W13" s="76"/>
      <c r="X13" s="30"/>
      <c r="Y13" s="30"/>
      <c r="Z13" s="30"/>
      <c r="AA13" s="30"/>
      <c r="AB13" s="30"/>
      <c r="AC13" s="30"/>
      <c r="AD13" s="30"/>
      <c r="AE13" s="30"/>
      <c r="AF13" s="30"/>
      <c r="AG13" s="30"/>
      <c r="AH13" s="30"/>
      <c r="AI13" s="30"/>
      <c r="AJ13" s="30"/>
      <c r="AK13" s="30"/>
      <c r="AL13" s="30"/>
      <c r="AM13" s="30"/>
      <c r="AN13" s="30"/>
      <c r="AO13" s="30"/>
      <c r="AP13" s="30"/>
      <c r="AQ13" s="30"/>
      <c r="AR13" s="30"/>
    </row>
    <row r="14" spans="1:44" ht="15.75" x14ac:dyDescent="0.25">
      <c r="A14" s="7">
        <f t="shared" si="1"/>
        <v>36</v>
      </c>
      <c r="B14" s="8">
        <f t="shared" si="9"/>
        <v>45907</v>
      </c>
      <c r="C14" s="9" t="str" cm="1">
        <f t="array" ref="C14">_xlfn.XLOOKUP(E14,Masterdata!$B$31:$B$44,Masterdata!$A$31:$A$44,_xlfn.SWITCH(WEEKDAY($D14, 2), 1, "Monday", 2, "Tuesday", 3, "Wednesday", 4, "Thursday", 5, "Friday", 6, "Saturday", 7, "Sunday"),0)</f>
        <v>Sunday</v>
      </c>
      <c r="D14" s="30">
        <f t="shared" si="0"/>
        <v>8</v>
      </c>
      <c r="E14" s="72">
        <f t="shared" si="2"/>
        <v>45907</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73" t="str">
        <f t="shared" si="4"/>
        <v>0</v>
      </c>
      <c r="N14" s="25" t="str">
        <f t="shared" si="5"/>
        <v>0:</v>
      </c>
      <c r="O14" s="56" t="str">
        <f t="shared" si="6"/>
        <v>0</v>
      </c>
      <c r="P14" s="57">
        <f>O14/60</f>
        <v>0</v>
      </c>
      <c r="Q14" s="31">
        <f>IF(M14="-",N14-P14,N14+P14)</f>
        <v>0</v>
      </c>
      <c r="R14" s="100"/>
      <c r="S14" s="10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75" x14ac:dyDescent="0.25">
      <c r="A15" s="7">
        <f t="shared" si="1"/>
        <v>37</v>
      </c>
      <c r="B15" s="8">
        <f t="shared" si="9"/>
        <v>45908</v>
      </c>
      <c r="C15" s="9" t="str" cm="1">
        <f t="array" ref="C15">_xlfn.XLOOKUP(E15,Masterdata!$B$31:$B$44,Masterdata!$A$31:$A$44,_xlfn.SWITCH(WEEKDAY($D15, 2), 1, "Monday", 2, "Tuesday", 3, "Wednesday", 4, "Thursday", 5, "Friday", 6, "Saturday", 7, "Sunday"),0)</f>
        <v>Monday</v>
      </c>
      <c r="D15" s="30">
        <f t="shared" si="0"/>
        <v>2</v>
      </c>
      <c r="E15" s="72">
        <f t="shared" si="2"/>
        <v>45908</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0.30833333333333335</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73" t="str">
        <f t="shared" si="4"/>
        <v>0</v>
      </c>
      <c r="N15" s="25" t="str">
        <f t="shared" si="5"/>
        <v>0:</v>
      </c>
      <c r="O15" s="56" t="str">
        <f t="shared" si="6"/>
        <v>0</v>
      </c>
      <c r="P15" s="57">
        <f t="shared" ref="P15:P37" si="10">O15/60</f>
        <v>0</v>
      </c>
      <c r="Q15" s="31">
        <f t="shared" ref="Q15:Q19" si="11">IF(M15="-",N15-P15,N15+P15)</f>
        <v>0</v>
      </c>
      <c r="R15" s="100"/>
      <c r="S15" s="100"/>
      <c r="T15" s="30" t="s">
        <v>32</v>
      </c>
      <c r="U15" s="30" t="s">
        <v>33</v>
      </c>
      <c r="V15" s="30" t="s">
        <v>34</v>
      </c>
      <c r="W15" s="31">
        <f>W10-W13</f>
        <v>160.33000000000001</v>
      </c>
      <c r="X15" s="30"/>
      <c r="Y15" s="30"/>
      <c r="Z15" s="30"/>
      <c r="AA15" s="30"/>
      <c r="AB15" s="30"/>
      <c r="AC15" s="30"/>
      <c r="AD15" s="30"/>
      <c r="AE15" s="30"/>
      <c r="AF15" s="30"/>
      <c r="AG15" s="30"/>
      <c r="AH15" s="30"/>
      <c r="AI15" s="30"/>
      <c r="AJ15" s="30"/>
      <c r="AK15" s="30"/>
      <c r="AL15" s="30"/>
      <c r="AM15" s="30"/>
      <c r="AN15" s="30"/>
      <c r="AO15" s="30"/>
      <c r="AP15" s="30"/>
      <c r="AQ15" s="30"/>
      <c r="AR15" s="30"/>
    </row>
    <row r="16" spans="1:44" ht="15.75" x14ac:dyDescent="0.25">
      <c r="A16" s="7">
        <f t="shared" si="1"/>
        <v>37</v>
      </c>
      <c r="B16" s="8">
        <f t="shared" si="9"/>
        <v>45909</v>
      </c>
      <c r="C16" s="9" t="str" cm="1">
        <f t="array" ref="C16">_xlfn.XLOOKUP(E16,Masterdata!$B$31:$B$44,Masterdata!$A$31:$A$44,_xlfn.SWITCH(WEEKDAY($D16, 2), 1, "Monday", 2, "Tuesday", 3, "Wednesday", 4, "Thursday", 5, "Friday", 6, "Saturday", 7, "Sunday"),0)</f>
        <v>Tuesday</v>
      </c>
      <c r="D16" s="30">
        <f t="shared" si="0"/>
        <v>3</v>
      </c>
      <c r="E16" s="72">
        <f t="shared" si="2"/>
        <v>45909</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0.30833333333333335</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73" t="str">
        <f t="shared" si="4"/>
        <v>0</v>
      </c>
      <c r="N16" s="25" t="str">
        <f t="shared" si="5"/>
        <v>0:</v>
      </c>
      <c r="O16" s="56" t="str">
        <f t="shared" si="6"/>
        <v>0</v>
      </c>
      <c r="P16" s="57">
        <f t="shared" si="10"/>
        <v>0</v>
      </c>
      <c r="Q16" s="31">
        <f t="shared" si="11"/>
        <v>0</v>
      </c>
      <c r="R16" s="100"/>
      <c r="S16" s="100"/>
      <c r="T16" s="30" t="s">
        <v>35</v>
      </c>
      <c r="U16" s="30" t="s">
        <v>36</v>
      </c>
      <c r="V16" s="30" t="s">
        <v>37</v>
      </c>
      <c r="W16" s="31" t="e">
        <f>SUM(#REF!)</f>
        <v>#REF!</v>
      </c>
      <c r="X16" s="30"/>
      <c r="Y16" s="30"/>
      <c r="Z16" s="30"/>
      <c r="AA16" s="30"/>
      <c r="AB16" s="30"/>
      <c r="AC16" s="30"/>
      <c r="AD16" s="30"/>
      <c r="AE16" s="30"/>
      <c r="AF16" s="30"/>
      <c r="AG16" s="30"/>
      <c r="AH16" s="30"/>
      <c r="AI16" s="30"/>
      <c r="AJ16" s="30"/>
      <c r="AK16" s="30"/>
      <c r="AL16" s="30"/>
      <c r="AM16" s="30"/>
      <c r="AN16" s="30"/>
      <c r="AO16" s="30"/>
      <c r="AP16" s="30"/>
      <c r="AQ16" s="30"/>
      <c r="AR16" s="30"/>
    </row>
    <row r="17" spans="1:44" ht="15.75" x14ac:dyDescent="0.25">
      <c r="A17" s="7">
        <f t="shared" si="1"/>
        <v>37</v>
      </c>
      <c r="B17" s="8">
        <f t="shared" si="9"/>
        <v>45910</v>
      </c>
      <c r="C17" s="9" t="str" cm="1">
        <f t="array" ref="C17">_xlfn.XLOOKUP(E17,Masterdata!$B$31:$B$44,Masterdata!$A$31:$A$44,_xlfn.SWITCH(WEEKDAY($D17, 2), 1, "Monday", 2, "Tuesday", 3, "Wednesday", 4, "Thursday", 5, "Friday", 6, "Saturday", 7, "Sunday"),0)</f>
        <v>Wednesday</v>
      </c>
      <c r="D17" s="30">
        <f t="shared" si="0"/>
        <v>4</v>
      </c>
      <c r="E17" s="72">
        <f t="shared" si="2"/>
        <v>45910</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0.30833333333333335</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73" t="str">
        <f t="shared" si="4"/>
        <v>0</v>
      </c>
      <c r="N17" s="25" t="str">
        <f t="shared" si="5"/>
        <v>0:</v>
      </c>
      <c r="O17" s="56" t="str">
        <f t="shared" si="6"/>
        <v>0</v>
      </c>
      <c r="P17" s="57">
        <f t="shared" si="10"/>
        <v>0</v>
      </c>
      <c r="Q17" s="31">
        <f t="shared" si="11"/>
        <v>0</v>
      </c>
      <c r="R17" s="100"/>
      <c r="S17" s="100"/>
      <c r="T17" s="30" t="s">
        <v>19</v>
      </c>
      <c r="U17" s="30" t="s">
        <v>38</v>
      </c>
      <c r="V17" s="30" t="s">
        <v>39</v>
      </c>
      <c r="W17" s="31" t="e">
        <f>W15-W16</f>
        <v>#REF!</v>
      </c>
      <c r="X17" s="30"/>
      <c r="Y17" s="30"/>
      <c r="Z17" s="30"/>
      <c r="AA17" s="30"/>
      <c r="AB17" s="30"/>
      <c r="AC17" s="30"/>
      <c r="AD17" s="30"/>
      <c r="AE17" s="30"/>
      <c r="AF17" s="30"/>
      <c r="AG17" s="30"/>
      <c r="AH17" s="30"/>
      <c r="AI17" s="30"/>
      <c r="AJ17" s="30"/>
      <c r="AK17" s="30"/>
      <c r="AL17" s="30"/>
      <c r="AM17" s="30"/>
      <c r="AN17" s="30"/>
      <c r="AO17" s="30"/>
      <c r="AP17" s="30"/>
      <c r="AQ17" s="30"/>
      <c r="AR17" s="30"/>
    </row>
    <row r="18" spans="1:44" ht="15.75" x14ac:dyDescent="0.25">
      <c r="A18" s="7">
        <f t="shared" si="1"/>
        <v>37</v>
      </c>
      <c r="B18" s="8">
        <f t="shared" si="9"/>
        <v>45911</v>
      </c>
      <c r="C18" s="9" t="str" cm="1">
        <f t="array" ref="C18">_xlfn.XLOOKUP(E18,Masterdata!$B$31:$B$44,Masterdata!$A$31:$A$44,_xlfn.SWITCH(WEEKDAY($D18, 2), 1, "Monday", 2, "Tuesday", 3, "Wednesday", 4, "Thursday", 5, "Friday", 6, "Saturday", 7, "Sunday"),0)</f>
        <v>Thursday</v>
      </c>
      <c r="D18" s="30">
        <f t="shared" si="0"/>
        <v>5</v>
      </c>
      <c r="E18" s="72">
        <f t="shared" si="2"/>
        <v>45911</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0.30833333333333335</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73" t="str">
        <f t="shared" si="4"/>
        <v>0</v>
      </c>
      <c r="N18" s="25" t="str">
        <f t="shared" si="5"/>
        <v>0:</v>
      </c>
      <c r="O18" s="56" t="str">
        <f t="shared" si="6"/>
        <v>0</v>
      </c>
      <c r="P18" s="57">
        <f t="shared" si="10"/>
        <v>0</v>
      </c>
      <c r="Q18" s="31">
        <f t="shared" si="11"/>
        <v>0</v>
      </c>
      <c r="R18" s="100"/>
      <c r="S18" s="100"/>
      <c r="T18" s="30"/>
      <c r="U18" s="30"/>
      <c r="V18" s="72"/>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15.75" x14ac:dyDescent="0.25">
      <c r="A19" s="7">
        <f t="shared" si="1"/>
        <v>37</v>
      </c>
      <c r="B19" s="8">
        <f t="shared" si="9"/>
        <v>45912</v>
      </c>
      <c r="C19" s="9" t="str" cm="1">
        <f t="array" ref="C19">_xlfn.XLOOKUP(E19,Masterdata!$B$31:$B$44,Masterdata!$A$31:$A$44,_xlfn.SWITCH(WEEKDAY($D19, 2), 1, "Monday", 2, "Tuesday", 3, "Wednesday", 4, "Thursday", 5, "Friday", 6, "Saturday", 7, "Sunday"),0)</f>
        <v>Friday</v>
      </c>
      <c r="D19" s="30">
        <f t="shared" si="0"/>
        <v>6</v>
      </c>
      <c r="E19" s="72">
        <f t="shared" si="2"/>
        <v>45912</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0.30833333333333335</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73" t="str">
        <f t="shared" si="4"/>
        <v>0</v>
      </c>
      <c r="N19" s="25" t="str">
        <f t="shared" si="5"/>
        <v>0:</v>
      </c>
      <c r="O19" s="56" t="str">
        <f t="shared" si="6"/>
        <v>0</v>
      </c>
      <c r="P19" s="57">
        <f t="shared" si="10"/>
        <v>0</v>
      </c>
      <c r="Q19" s="31">
        <f t="shared" si="11"/>
        <v>0</v>
      </c>
      <c r="R19" s="100"/>
      <c r="S19" s="10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75" x14ac:dyDescent="0.25">
      <c r="A20" s="7">
        <f t="shared" si="1"/>
        <v>37</v>
      </c>
      <c r="B20" s="8">
        <f t="shared" si="9"/>
        <v>45913</v>
      </c>
      <c r="C20" s="9" t="str" cm="1">
        <f t="array" ref="C20">_xlfn.XLOOKUP(E20,Masterdata!$B$31:$B$44,Masterdata!$A$31:$A$44,_xlfn.SWITCH(WEEKDAY($D20, 2), 1, "Monday", 2, "Tuesday", 3, "Wednesday", 4, "Thursday", 5, "Friday", 6, "Saturday", 7, "Sunday"),0)</f>
        <v>Saturday</v>
      </c>
      <c r="D20" s="30">
        <f t="shared" si="0"/>
        <v>7</v>
      </c>
      <c r="E20" s="72">
        <f t="shared" si="2"/>
        <v>45913</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73" t="str">
        <f>LEFT(L20,1)</f>
        <v>0</v>
      </c>
      <c r="N20" s="25" t="str">
        <f t="shared" si="5"/>
        <v>0:</v>
      </c>
      <c r="O20" s="56" t="str">
        <f t="shared" si="6"/>
        <v>0</v>
      </c>
      <c r="P20" s="57">
        <f t="shared" si="10"/>
        <v>0</v>
      </c>
      <c r="Q20" s="31">
        <f>IF(M20="-",N20-P20,N20+P20)</f>
        <v>0</v>
      </c>
      <c r="R20" s="100"/>
      <c r="S20" s="10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15.75" x14ac:dyDescent="0.25">
      <c r="A21" s="7">
        <f t="shared" si="1"/>
        <v>37</v>
      </c>
      <c r="B21" s="8">
        <f t="shared" si="9"/>
        <v>45914</v>
      </c>
      <c r="C21" s="9" t="str" cm="1">
        <f t="array" ref="C21">_xlfn.XLOOKUP(E21,Masterdata!$B$31:$B$44,Masterdata!$A$31:$A$44,_xlfn.SWITCH(WEEKDAY($D21, 2), 1, "Monday", 2, "Tuesday", 3, "Wednesday", 4, "Thursday", 5, "Friday", 6, "Saturday", 7, "Sunday"),0)</f>
        <v>Sunday</v>
      </c>
      <c r="D21" s="30">
        <f t="shared" si="0"/>
        <v>8</v>
      </c>
      <c r="E21" s="72">
        <f t="shared" si="2"/>
        <v>45914</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73" t="str">
        <f t="shared" ref="M21:M37" si="12">LEFT(L21,1)</f>
        <v>0</v>
      </c>
      <c r="N21" s="25" t="str">
        <f t="shared" si="5"/>
        <v>0:</v>
      </c>
      <c r="O21" s="56" t="str">
        <f t="shared" si="6"/>
        <v>0</v>
      </c>
      <c r="P21" s="57">
        <f t="shared" si="10"/>
        <v>0</v>
      </c>
      <c r="Q21" s="31">
        <f t="shared" ref="Q21:Q37" si="13">IF(M21="-",N21-P21,N21+P21)</f>
        <v>0</v>
      </c>
      <c r="R21" s="100"/>
      <c r="S21" s="10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ht="15.75" x14ac:dyDescent="0.25">
      <c r="A22" s="7">
        <f t="shared" si="1"/>
        <v>38</v>
      </c>
      <c r="B22" s="8">
        <f t="shared" si="9"/>
        <v>45915</v>
      </c>
      <c r="C22" s="9" t="str" cm="1">
        <f t="array" ref="C22">_xlfn.XLOOKUP(E22,Masterdata!$B$31:$B$44,Masterdata!$A$31:$A$44,_xlfn.SWITCH(WEEKDAY($D22, 2), 1, "Monday", 2, "Tuesday", 3, "Wednesday", 4, "Thursday", 5, "Friday", 6, "Saturday", 7, "Sunday"),0)</f>
        <v>Monday</v>
      </c>
      <c r="D22" s="30">
        <f t="shared" si="0"/>
        <v>2</v>
      </c>
      <c r="E22" s="72">
        <f t="shared" si="2"/>
        <v>45915</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0.30833333333333335</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73" t="str">
        <f t="shared" si="12"/>
        <v>0</v>
      </c>
      <c r="N22" s="25" t="str">
        <f t="shared" si="5"/>
        <v>0:</v>
      </c>
      <c r="O22" s="56" t="str">
        <f t="shared" si="6"/>
        <v>0</v>
      </c>
      <c r="P22" s="57">
        <f t="shared" si="10"/>
        <v>0</v>
      </c>
      <c r="Q22" s="31">
        <f t="shared" si="13"/>
        <v>0</v>
      </c>
      <c r="R22" s="100"/>
      <c r="S22" s="10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5.75" x14ac:dyDescent="0.25">
      <c r="A23" s="7">
        <f t="shared" si="1"/>
        <v>38</v>
      </c>
      <c r="B23" s="8">
        <f t="shared" si="9"/>
        <v>45916</v>
      </c>
      <c r="C23" s="9" t="str" cm="1">
        <f t="array" ref="C23">_xlfn.XLOOKUP(E23,Masterdata!$B$31:$B$44,Masterdata!$A$31:$A$44,_xlfn.SWITCH(WEEKDAY($D23, 2), 1, "Monday", 2, "Tuesday", 3, "Wednesday", 4, "Thursday", 5, "Friday", 6, "Saturday", 7, "Sunday"),0)</f>
        <v>Tuesday</v>
      </c>
      <c r="D23" s="30">
        <f t="shared" si="0"/>
        <v>3</v>
      </c>
      <c r="E23" s="72">
        <f t="shared" si="2"/>
        <v>45916</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0.30833333333333335</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73" t="str">
        <f t="shared" si="12"/>
        <v>0</v>
      </c>
      <c r="N23" s="25" t="str">
        <f t="shared" si="5"/>
        <v>0:</v>
      </c>
      <c r="O23" s="56" t="str">
        <f t="shared" si="6"/>
        <v>0</v>
      </c>
      <c r="P23" s="57">
        <f t="shared" si="10"/>
        <v>0</v>
      </c>
      <c r="Q23" s="31">
        <f t="shared" si="13"/>
        <v>0</v>
      </c>
      <c r="R23" s="100"/>
      <c r="S23" s="10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15.75" x14ac:dyDescent="0.25">
      <c r="A24" s="7">
        <f t="shared" si="1"/>
        <v>38</v>
      </c>
      <c r="B24" s="8">
        <f t="shared" si="9"/>
        <v>45917</v>
      </c>
      <c r="C24" s="9" t="str" cm="1">
        <f t="array" ref="C24">_xlfn.XLOOKUP(E24,Masterdata!$B$31:$B$44,Masterdata!$A$31:$A$44,_xlfn.SWITCH(WEEKDAY($D24, 2), 1, "Monday", 2, "Tuesday", 3, "Wednesday", 4, "Thursday", 5, "Friday", 6, "Saturday", 7, "Sunday"),0)</f>
        <v>Wednesday</v>
      </c>
      <c r="D24" s="30">
        <f t="shared" si="0"/>
        <v>4</v>
      </c>
      <c r="E24" s="72">
        <f t="shared" si="2"/>
        <v>45917</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0.30833333333333335</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73" t="str">
        <f t="shared" si="12"/>
        <v>0</v>
      </c>
      <c r="N24" s="25" t="str">
        <f t="shared" si="5"/>
        <v>0:</v>
      </c>
      <c r="O24" s="56" t="str">
        <f t="shared" si="6"/>
        <v>0</v>
      </c>
      <c r="P24" s="57">
        <f t="shared" si="10"/>
        <v>0</v>
      </c>
      <c r="Q24" s="31">
        <f t="shared" si="13"/>
        <v>0</v>
      </c>
      <c r="R24" s="100"/>
      <c r="S24" s="10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5.75" x14ac:dyDescent="0.25">
      <c r="A25" s="7">
        <f t="shared" si="1"/>
        <v>38</v>
      </c>
      <c r="B25" s="8">
        <f t="shared" si="9"/>
        <v>45918</v>
      </c>
      <c r="C25" s="9" t="str" cm="1">
        <f t="array" ref="C25">_xlfn.XLOOKUP(E25,Masterdata!$B$31:$B$44,Masterdata!$A$31:$A$44,_xlfn.SWITCH(WEEKDAY($D25, 2), 1, "Monday", 2, "Tuesday", 3, "Wednesday", 4, "Thursday", 5, "Friday", 6, "Saturday", 7, "Sunday"),0)</f>
        <v>Thursday</v>
      </c>
      <c r="D25" s="30">
        <f t="shared" si="0"/>
        <v>5</v>
      </c>
      <c r="E25" s="72">
        <f t="shared" si="2"/>
        <v>45918</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0.30833333333333335</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73" t="str">
        <f t="shared" si="12"/>
        <v>0</v>
      </c>
      <c r="N25" s="25" t="str">
        <f t="shared" si="5"/>
        <v>0:</v>
      </c>
      <c r="O25" s="56" t="str">
        <f t="shared" si="6"/>
        <v>0</v>
      </c>
      <c r="P25" s="57">
        <f t="shared" si="10"/>
        <v>0</v>
      </c>
      <c r="Q25" s="31">
        <f t="shared" si="13"/>
        <v>0</v>
      </c>
      <c r="R25" s="100"/>
      <c r="S25" s="10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ht="15.75" x14ac:dyDescent="0.25">
      <c r="A26" s="7">
        <f t="shared" si="1"/>
        <v>38</v>
      </c>
      <c r="B26" s="8">
        <f t="shared" si="9"/>
        <v>45919</v>
      </c>
      <c r="C26" s="9" t="str" cm="1">
        <f t="array" ref="C26">_xlfn.XLOOKUP(E26,Masterdata!$B$31:$B$44,Masterdata!$A$31:$A$44,_xlfn.SWITCH(WEEKDAY($D26, 2), 1, "Monday", 2, "Tuesday", 3, "Wednesday", 4, "Thursday", 5, "Friday", 6, "Saturday", 7, "Sunday"),0)</f>
        <v>Friday</v>
      </c>
      <c r="D26" s="30">
        <f t="shared" si="0"/>
        <v>6</v>
      </c>
      <c r="E26" s="72">
        <f t="shared" si="2"/>
        <v>45919</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0.30833333333333335</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73" t="str">
        <f t="shared" si="12"/>
        <v>0</v>
      </c>
      <c r="N26" s="25" t="str">
        <f t="shared" si="5"/>
        <v>0:</v>
      </c>
      <c r="O26" s="56" t="str">
        <f t="shared" si="6"/>
        <v>0</v>
      </c>
      <c r="P26" s="57">
        <f t="shared" si="10"/>
        <v>0</v>
      </c>
      <c r="Q26" s="31">
        <f t="shared" si="13"/>
        <v>0</v>
      </c>
      <c r="R26" s="100"/>
      <c r="S26" s="10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5.75" x14ac:dyDescent="0.25">
      <c r="A27" s="7">
        <f t="shared" si="1"/>
        <v>38</v>
      </c>
      <c r="B27" s="8">
        <f t="shared" si="9"/>
        <v>45920</v>
      </c>
      <c r="C27" s="9" t="str" cm="1">
        <f t="array" ref="C27">_xlfn.XLOOKUP(E27,Masterdata!$B$31:$B$44,Masterdata!$A$31:$A$44,_xlfn.SWITCH(WEEKDAY($D27, 2), 1, "Monday", 2, "Tuesday", 3, "Wednesday", 4, "Thursday", 5, "Friday", 6, "Saturday", 7, "Sunday"),0)</f>
        <v>Saturday</v>
      </c>
      <c r="D27" s="30">
        <f t="shared" si="0"/>
        <v>7</v>
      </c>
      <c r="E27" s="72">
        <f t="shared" si="2"/>
        <v>45920</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73" t="str">
        <f t="shared" si="12"/>
        <v>0</v>
      </c>
      <c r="N27" s="25" t="str">
        <f t="shared" si="5"/>
        <v>0:</v>
      </c>
      <c r="O27" s="56" t="str">
        <f t="shared" si="6"/>
        <v>0</v>
      </c>
      <c r="P27" s="57">
        <f t="shared" si="10"/>
        <v>0</v>
      </c>
      <c r="Q27" s="31">
        <f t="shared" si="13"/>
        <v>0</v>
      </c>
      <c r="R27" s="100"/>
      <c r="S27" s="10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ht="15.75" x14ac:dyDescent="0.25">
      <c r="A28" s="7">
        <f t="shared" si="1"/>
        <v>38</v>
      </c>
      <c r="B28" s="8">
        <f t="shared" si="9"/>
        <v>45921</v>
      </c>
      <c r="C28" s="9" t="str" cm="1">
        <f t="array" ref="C28">_xlfn.XLOOKUP(E28,Masterdata!$B$31:$B$44,Masterdata!$A$31:$A$44,_xlfn.SWITCH(WEEKDAY($D28, 2), 1, "Monday", 2, "Tuesday", 3, "Wednesday", 4, "Thursday", 5, "Friday", 6, "Saturday", 7, "Sunday"),0)</f>
        <v>Sunday</v>
      </c>
      <c r="D28" s="30">
        <f t="shared" si="0"/>
        <v>8</v>
      </c>
      <c r="E28" s="72">
        <f t="shared" si="2"/>
        <v>45921</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73" t="str">
        <f t="shared" si="12"/>
        <v>0</v>
      </c>
      <c r="N28" s="25" t="str">
        <f t="shared" si="5"/>
        <v>0:</v>
      </c>
      <c r="O28" s="56" t="str">
        <f t="shared" si="6"/>
        <v>0</v>
      </c>
      <c r="P28" s="57">
        <f t="shared" si="10"/>
        <v>0</v>
      </c>
      <c r="Q28" s="31">
        <f t="shared" si="13"/>
        <v>0</v>
      </c>
      <c r="R28" s="100"/>
      <c r="S28" s="10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5.75" x14ac:dyDescent="0.25">
      <c r="A29" s="7">
        <f t="shared" si="1"/>
        <v>39</v>
      </c>
      <c r="B29" s="8">
        <f t="shared" si="9"/>
        <v>45922</v>
      </c>
      <c r="C29" s="9" t="str" cm="1">
        <f t="array" ref="C29">_xlfn.XLOOKUP(E29,Masterdata!$B$31:$B$44,Masterdata!$A$31:$A$44,_xlfn.SWITCH(WEEKDAY($D29, 2), 1, "Monday", 2, "Tuesday", 3, "Wednesday", 4, "Thursday", 5, "Friday", 6, "Saturday", 7, "Sunday"),0)</f>
        <v>Monday</v>
      </c>
      <c r="D29" s="30">
        <f t="shared" si="0"/>
        <v>2</v>
      </c>
      <c r="E29" s="72">
        <f t="shared" si="2"/>
        <v>45922</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0.30833333333333335</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73" t="str">
        <f t="shared" si="12"/>
        <v>0</v>
      </c>
      <c r="N29" s="25" t="str">
        <f t="shared" si="5"/>
        <v>0:</v>
      </c>
      <c r="O29" s="56" t="str">
        <f t="shared" si="6"/>
        <v>0</v>
      </c>
      <c r="P29" s="57">
        <f t="shared" si="10"/>
        <v>0</v>
      </c>
      <c r="Q29" s="31">
        <f t="shared" si="13"/>
        <v>0</v>
      </c>
      <c r="R29" s="100"/>
      <c r="S29" s="10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ht="15.75" x14ac:dyDescent="0.25">
      <c r="A30" s="7">
        <f t="shared" si="1"/>
        <v>39</v>
      </c>
      <c r="B30" s="8">
        <f t="shared" si="9"/>
        <v>45923</v>
      </c>
      <c r="C30" s="9" t="str" cm="1">
        <f t="array" ref="C30">_xlfn.XLOOKUP(E30,Masterdata!$B$31:$B$44,Masterdata!$A$31:$A$44,_xlfn.SWITCH(WEEKDAY($D30, 2), 1, "Monday", 2, "Tuesday", 3, "Wednesday", 4, "Thursday", 5, "Friday", 6, "Saturday", 7, "Sunday"),0)</f>
        <v>Tuesday</v>
      </c>
      <c r="D30" s="30">
        <f t="shared" si="0"/>
        <v>3</v>
      </c>
      <c r="E30" s="72">
        <f t="shared" si="2"/>
        <v>45923</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0.30833333333333335</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73" t="str">
        <f t="shared" si="12"/>
        <v>0</v>
      </c>
      <c r="N30" s="25" t="str">
        <f t="shared" si="5"/>
        <v>0:</v>
      </c>
      <c r="O30" s="56" t="str">
        <f t="shared" si="6"/>
        <v>0</v>
      </c>
      <c r="P30" s="57">
        <f t="shared" si="10"/>
        <v>0</v>
      </c>
      <c r="Q30" s="31">
        <f t="shared" si="13"/>
        <v>0</v>
      </c>
      <c r="R30" s="100"/>
      <c r="S30" s="10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5.75" x14ac:dyDescent="0.25">
      <c r="A31" s="7">
        <f t="shared" si="1"/>
        <v>39</v>
      </c>
      <c r="B31" s="8">
        <f t="shared" si="9"/>
        <v>45924</v>
      </c>
      <c r="C31" s="9" t="str" cm="1">
        <f t="array" ref="C31">_xlfn.XLOOKUP(E31,Masterdata!$B$31:$B$44,Masterdata!$A$31:$A$44,_xlfn.SWITCH(WEEKDAY($D31, 2), 1, "Monday", 2, "Tuesday", 3, "Wednesday", 4, "Thursday", 5, "Friday", 6, "Saturday", 7, "Sunday"),0)</f>
        <v>Wednesday</v>
      </c>
      <c r="D31" s="30">
        <f t="shared" si="0"/>
        <v>4</v>
      </c>
      <c r="E31" s="72">
        <f t="shared" si="2"/>
        <v>45924</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0.30833333333333335</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73" t="str">
        <f t="shared" si="12"/>
        <v>0</v>
      </c>
      <c r="N31" s="25" t="str">
        <f t="shared" si="5"/>
        <v>0:</v>
      </c>
      <c r="O31" s="56" t="str">
        <f t="shared" si="6"/>
        <v>0</v>
      </c>
      <c r="P31" s="57">
        <f t="shared" si="10"/>
        <v>0</v>
      </c>
      <c r="Q31" s="31">
        <f t="shared" si="13"/>
        <v>0</v>
      </c>
      <c r="R31" s="100"/>
      <c r="S31" s="10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15.75" x14ac:dyDescent="0.25">
      <c r="A32" s="7">
        <f t="shared" si="1"/>
        <v>39</v>
      </c>
      <c r="B32" s="8">
        <f t="shared" si="9"/>
        <v>45925</v>
      </c>
      <c r="C32" s="9" t="str" cm="1">
        <f t="array" ref="C32">_xlfn.XLOOKUP(E32,Masterdata!$B$31:$B$44,Masterdata!$A$31:$A$44,_xlfn.SWITCH(WEEKDAY($D32, 2), 1, "Monday", 2, "Tuesday", 3, "Wednesday", 4, "Thursday", 5, "Friday", 6, "Saturday", 7, "Sunday"),0)</f>
        <v>Thursday</v>
      </c>
      <c r="D32" s="30">
        <f t="shared" si="0"/>
        <v>5</v>
      </c>
      <c r="E32" s="72">
        <f t="shared" si="2"/>
        <v>45925</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0.30833333333333335</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73" t="str">
        <f t="shared" si="12"/>
        <v>0</v>
      </c>
      <c r="N32" s="25" t="str">
        <f t="shared" si="5"/>
        <v>0:</v>
      </c>
      <c r="O32" s="56" t="str">
        <f t="shared" si="6"/>
        <v>0</v>
      </c>
      <c r="P32" s="57">
        <f t="shared" si="10"/>
        <v>0</v>
      </c>
      <c r="Q32" s="31">
        <f t="shared" si="13"/>
        <v>0</v>
      </c>
      <c r="R32" s="100"/>
      <c r="S32" s="10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5.75" x14ac:dyDescent="0.25">
      <c r="A33" s="7">
        <f t="shared" si="1"/>
        <v>39</v>
      </c>
      <c r="B33" s="8">
        <f t="shared" si="9"/>
        <v>45926</v>
      </c>
      <c r="C33" s="9" t="str" cm="1">
        <f t="array" ref="C33">_xlfn.XLOOKUP(E33,Masterdata!$B$31:$B$44,Masterdata!$A$31:$A$44,_xlfn.SWITCH(WEEKDAY($D33, 2), 1, "Monday", 2, "Tuesday", 3, "Wednesday", 4, "Thursday", 5, "Friday", 6, "Saturday", 7, "Sunday"),0)</f>
        <v>Friday</v>
      </c>
      <c r="D33" s="30">
        <f t="shared" si="0"/>
        <v>6</v>
      </c>
      <c r="E33" s="72">
        <f t="shared" si="2"/>
        <v>45926</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0.30833333333333335</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73" t="str">
        <f t="shared" si="12"/>
        <v>0</v>
      </c>
      <c r="N33" s="25" t="str">
        <f t="shared" si="5"/>
        <v>0:</v>
      </c>
      <c r="O33" s="56" t="str">
        <f t="shared" si="6"/>
        <v>0</v>
      </c>
      <c r="P33" s="57">
        <f t="shared" si="10"/>
        <v>0</v>
      </c>
      <c r="Q33" s="31">
        <f t="shared" si="13"/>
        <v>0</v>
      </c>
      <c r="R33" s="100"/>
      <c r="S33" s="10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15.75" x14ac:dyDescent="0.25">
      <c r="A34" s="7">
        <f t="shared" si="1"/>
        <v>39</v>
      </c>
      <c r="B34" s="8">
        <f t="shared" si="9"/>
        <v>45927</v>
      </c>
      <c r="C34" s="9" t="str" cm="1">
        <f t="array" ref="C34">_xlfn.XLOOKUP(E34,Masterdata!$B$31:$B$44,Masterdata!$A$31:$A$44,_xlfn.SWITCH(WEEKDAY($D34, 2), 1, "Monday", 2, "Tuesday", 3, "Wednesday", 4, "Thursday", 5, "Friday", 6, "Saturday", 7, "Sunday"),0)</f>
        <v>Saturday</v>
      </c>
      <c r="D34" s="30">
        <f t="shared" si="0"/>
        <v>7</v>
      </c>
      <c r="E34" s="72">
        <f t="shared" si="2"/>
        <v>45927</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73" t="str">
        <f t="shared" si="12"/>
        <v>0</v>
      </c>
      <c r="N34" s="25" t="str">
        <f t="shared" si="5"/>
        <v>0:</v>
      </c>
      <c r="O34" s="56" t="str">
        <f t="shared" si="6"/>
        <v>0</v>
      </c>
      <c r="P34" s="57">
        <f t="shared" si="10"/>
        <v>0</v>
      </c>
      <c r="Q34" s="31">
        <f t="shared" si="13"/>
        <v>0</v>
      </c>
      <c r="R34" s="100"/>
      <c r="S34" s="10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5.75" x14ac:dyDescent="0.25">
      <c r="A35" s="7">
        <f t="shared" si="1"/>
        <v>39</v>
      </c>
      <c r="B35" s="8">
        <f t="shared" si="9"/>
        <v>45928</v>
      </c>
      <c r="C35" s="9" t="str" cm="1">
        <f t="array" ref="C35">_xlfn.XLOOKUP(E35,Masterdata!$B$31:$B$44,Masterdata!$A$31:$A$44,_xlfn.SWITCH(WEEKDAY($D35, 2), 1, "Monday", 2, "Tuesday", 3, "Wednesday", 4, "Thursday", 5, "Friday", 6, "Saturday", 7, "Sunday"),0)</f>
        <v>Sunday</v>
      </c>
      <c r="D35" s="30">
        <f t="shared" si="0"/>
        <v>8</v>
      </c>
      <c r="E35" s="72">
        <f t="shared" si="2"/>
        <v>45928</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73" t="str">
        <f t="shared" si="12"/>
        <v>0</v>
      </c>
      <c r="N35" s="25" t="str">
        <f t="shared" si="5"/>
        <v>0:</v>
      </c>
      <c r="O35" s="56" t="str">
        <f t="shared" si="6"/>
        <v>0</v>
      </c>
      <c r="P35" s="57">
        <f t="shared" si="10"/>
        <v>0</v>
      </c>
      <c r="Q35" s="31">
        <f t="shared" si="13"/>
        <v>0</v>
      </c>
      <c r="R35" s="100"/>
      <c r="S35" s="10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15.75" x14ac:dyDescent="0.25">
      <c r="A36" s="7">
        <f t="shared" si="1"/>
        <v>40</v>
      </c>
      <c r="B36" s="8">
        <f t="shared" si="9"/>
        <v>45929</v>
      </c>
      <c r="C36" s="9" t="str" cm="1">
        <f t="array" ref="C36">_xlfn.XLOOKUP(E36,Masterdata!$B$31:$B$44,Masterdata!$A$31:$A$44,_xlfn.SWITCH(WEEKDAY($D36, 2), 1, "Monday", 2, "Tuesday", 3, "Wednesday", 4, "Thursday", 5, "Friday", 6, "Saturday", 7, "Sunday"),0)</f>
        <v>Monday</v>
      </c>
      <c r="D36" s="30">
        <f t="shared" si="0"/>
        <v>2</v>
      </c>
      <c r="E36" s="72">
        <f t="shared" si="2"/>
        <v>45929</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0.30833333333333335</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73" t="str">
        <f t="shared" si="12"/>
        <v>0</v>
      </c>
      <c r="N36" s="25" t="str">
        <f t="shared" si="5"/>
        <v>0:</v>
      </c>
      <c r="O36" s="56" t="str">
        <f t="shared" si="6"/>
        <v>0</v>
      </c>
      <c r="P36" s="57">
        <f t="shared" si="10"/>
        <v>0</v>
      </c>
      <c r="Q36" s="31">
        <f t="shared" si="13"/>
        <v>0</v>
      </c>
      <c r="R36" s="100"/>
      <c r="S36" s="10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ht="15.75" x14ac:dyDescent="0.25">
      <c r="A37" s="7">
        <f t="shared" si="1"/>
        <v>40</v>
      </c>
      <c r="B37" s="8">
        <f t="shared" si="9"/>
        <v>45930</v>
      </c>
      <c r="C37" s="9" t="str" cm="1">
        <f t="array" ref="C37">_xlfn.XLOOKUP(E37,Masterdata!$B$31:$B$44,Masterdata!$A$31:$A$44,_xlfn.SWITCH(WEEKDAY($D37, 2), 1, "Monday", 2, "Tuesday", 3, "Wednesday", 4, "Thursday", 5, "Friday", 6, "Saturday", 7, "Sunday"),0)</f>
        <v>Tuesday</v>
      </c>
      <c r="D37" s="30">
        <f t="shared" si="0"/>
        <v>3</v>
      </c>
      <c r="E37" s="72">
        <f t="shared" si="2"/>
        <v>45930</v>
      </c>
      <c r="F37" s="10" t="s">
        <v>18</v>
      </c>
      <c r="G37" s="12">
        <f>IF(AND(F37="N",NOT(OR($C37="Monday", $C37="Tuesday",$C37="Wednesday",$C37="Thursday",$C37="Friday"))),0,IFERROR(
    IF($F37="N", $W$9,
        IF(OR(
            AND(Masterdata!$B$4&lt;&gt;DATE(1900,1,0), Masterdata!$B$4&lt;$E37),
            AND(Masterdata!$B$3&lt;&gt;DATE(1900,1,0), Masterdata!$B$3&gt;$E37)
        ),
        IF($H37&gt;=TIME(0,0,0), "Type in next cell", 0),
        IF($H37&gt;=TIME(0,0,0), "Type in next cell",
            IF($H37&gt;=0, 0,
                IF(NOT(OR($C37="Monday", $C37="Tuesday",$C37="Wednesday",$C37="Thursday",$C37="Friday")), 0, 0)
            )
        )
    )),
"Type in next cell"))</f>
        <v>0.30833333333333335</v>
      </c>
      <c r="H37" s="11">
        <v>0</v>
      </c>
      <c r="I37" s="11">
        <v>0</v>
      </c>
      <c r="J37" s="11">
        <v>0</v>
      </c>
      <c r="K37" s="27" t="str">
        <f t="shared" si="3"/>
        <v>00:00</v>
      </c>
      <c r="L37" s="27" t="str">
        <f>IF(F37="N","0:00",IF(
OR(
AND(Masterdata!$B$4&lt;&gt;DATE(1900,1,0),Masterdata!$B$4&lt;$E37),
AND(Masterdata!$B$3&lt;&gt;DATE(1900,1,0),Masterdata!$B$3&gt;$E37)
),
"0:00",
IF(
$H37&gt;TIME(0,0,0),
IF(
NOT(OR($C37="Monday", $C37="Tuesday",$C37="Wednesday",$C37="Thursday",$C37="Friday")),
TEXT($H37,"[tt]:mm"),
IF($H37-$W$9&gt;=0,TEXT($H37-$W$9,"[tt]:mm"),"-"&amp;TEXT(ABS($H37-$W$9),"[tt]:mm"))
),
IF(
NOT(OR($C37="Monday", $C37="Tuesday",$C37="Wednesday",$C37="Thursday",$C37="Friday")),
IF($J37-$I37&gt;=0,TEXT($J37-$I37,"[tt]:mm"),"-"&amp;TEXT(ABS($J37-$I37),"[tt]:mm")),
IFERROR(
IF($G37-$W$9=0,
IF($G37-$W$9&gt;=0,TEXT($G37-$W$9,"[tt]:mm"),"-"&amp;TEXT(ABS($G37-$W$9),"[tt]:mm")),
IF($J37-$I37&gt;=0,TEXT($J37-$I37,"[tt]:mm"),"-"&amp;TEXT(ABS($J37-$I37),"[tt]:mm"))
),
IF(
$J37-$I37-$W$9&gt;=0,
TEXT($J37-$I37-$W$9,"[tt]:mm"),
"-"&amp;TEXT(ABS($J37-$I37-$W$9),"[tt]:mm")
)
)
)
)
))</f>
        <v>0:00</v>
      </c>
      <c r="M37" s="73" t="str">
        <f t="shared" si="12"/>
        <v>0</v>
      </c>
      <c r="N37" s="25" t="str">
        <f t="shared" si="5"/>
        <v>0:</v>
      </c>
      <c r="O37" s="56" t="str">
        <f t="shared" si="6"/>
        <v>0</v>
      </c>
      <c r="P37" s="57">
        <f t="shared" si="10"/>
        <v>0</v>
      </c>
      <c r="Q37" s="31">
        <f t="shared" si="13"/>
        <v>0</v>
      </c>
      <c r="R37" s="100"/>
      <c r="S37" s="10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15.75" x14ac:dyDescent="0.25">
      <c r="A38" s="30"/>
      <c r="B38" s="30"/>
      <c r="C38" s="30"/>
      <c r="D38" s="30"/>
      <c r="E38" s="30"/>
      <c r="F38" s="30"/>
      <c r="G38" s="30"/>
      <c r="H38" s="30"/>
      <c r="I38" s="30"/>
      <c r="J38" s="30"/>
      <c r="K38" s="30"/>
      <c r="L38" s="75"/>
      <c r="M38" s="30"/>
      <c r="N38" s="30"/>
      <c r="O38" s="30"/>
      <c r="P38" s="30"/>
      <c r="Q38" s="31">
        <f>SUM(Q8:Q37)</f>
        <v>0</v>
      </c>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5.75"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15.7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5.7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15.7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ht="15.7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ht="15.7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ht="15.7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ht="15.7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row>
    <row r="50" spans="1:44" ht="15.7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ht="15.7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7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1:44" ht="15.7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44" ht="15.7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ht="15.7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44" ht="15.7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ht="15.7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ht="15.7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ht="15.7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ht="15.7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ht="15.7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ht="15.7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15.7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row>
    <row r="64" spans="1:44" ht="15.7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row>
    <row r="65" spans="1:44" ht="15.7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15.7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5.7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row>
    <row r="68" spans="1:44" ht="15.7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ht="15.7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row>
    <row r="70" spans="1:44" ht="15.7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ht="15.7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15.7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ht="15.7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ht="15.7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ht="15.7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row>
    <row r="76" spans="1:44" ht="15.7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ht="15.75" x14ac:dyDescent="0.25">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row>
  </sheetData>
  <sheetProtection algorithmName="SHA-512" hashValue="Aj2kWAoDTkgFU/JLLBVOPeNwPdPwzyRlh/pYOwhw+VbR6Y5daEhRPEYwb6I6OmdcVqphoHh9y9kI5ooqSfQ6qA==" saltValue="U+Mtfj4dTWH6mSN5r6ukGg==" spinCount="100000" sheet="1" objects="1" scenarios="1"/>
  <mergeCells count="36">
    <mergeCell ref="R13:S13"/>
    <mergeCell ref="R1:S1"/>
    <mergeCell ref="R2:S2"/>
    <mergeCell ref="R3:S3"/>
    <mergeCell ref="R4:S4"/>
    <mergeCell ref="R5:S5"/>
    <mergeCell ref="R7:S7"/>
    <mergeCell ref="R8:S8"/>
    <mergeCell ref="R9:S9"/>
    <mergeCell ref="R10:S10"/>
    <mergeCell ref="R11:S11"/>
    <mergeCell ref="R12:S12"/>
    <mergeCell ref="R25:S25"/>
    <mergeCell ref="R14:S14"/>
    <mergeCell ref="R15:S15"/>
    <mergeCell ref="R16:S16"/>
    <mergeCell ref="R17:S17"/>
    <mergeCell ref="R18:S18"/>
    <mergeCell ref="R19:S19"/>
    <mergeCell ref="R20:S20"/>
    <mergeCell ref="R21:S21"/>
    <mergeCell ref="R22:S22"/>
    <mergeCell ref="R23:S23"/>
    <mergeCell ref="R24:S24"/>
    <mergeCell ref="R37:S37"/>
    <mergeCell ref="R26:S26"/>
    <mergeCell ref="R27:S27"/>
    <mergeCell ref="R28:S28"/>
    <mergeCell ref="R29:S29"/>
    <mergeCell ref="R30:S30"/>
    <mergeCell ref="R31:S31"/>
    <mergeCell ref="R32:S32"/>
    <mergeCell ref="R33:S33"/>
    <mergeCell ref="R34:S34"/>
    <mergeCell ref="R35:S35"/>
    <mergeCell ref="R36:S36"/>
  </mergeCells>
  <conditionalFormatting sqref="A8:G37">
    <cfRule type="expression" dxfId="15" priority="2">
      <formula>NOT(OR($C8="Monday", $C8="Tuesday",$C8="Wednesday",$C8="Thursday",$C8="Friday"))</formula>
    </cfRule>
  </conditionalFormatting>
  <conditionalFormatting sqref="G8:G37">
    <cfRule type="expression" dxfId="14" priority="4">
      <formula>AND($F8="N", (OR($C8="Monday", $C8="Tuesday",$C8="Wednesday",$C8="Thursday",$C8="Friday")))</formula>
    </cfRule>
  </conditionalFormatting>
  <conditionalFormatting sqref="H8:J37">
    <cfRule type="expression" dxfId="13" priority="1">
      <formula>OR($F8="N")</formula>
    </cfRule>
    <cfRule type="expression" dxfId="12" priority="3">
      <formula>$F8="R"</formula>
    </cfRule>
  </conditionalFormatting>
  <dataValidations count="1">
    <dataValidation type="list" allowBlank="1" showInputMessage="1" showErrorMessage="1" sqref="F8:F37" xr:uid="{07D5E5EC-105F-4B4D-9E67-4F13AF7D9B80}">
      <formula1>$L$3:$L$4</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FE81-B041-40F7-9A77-43A075674D62}">
  <dimension ref="A1:AR77"/>
  <sheetViews>
    <sheetView zoomScale="70" zoomScaleNormal="70" workbookViewId="0">
      <selection activeCell="C1" sqref="C1"/>
    </sheetView>
  </sheetViews>
  <sheetFormatPr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6" width="7.5703125" hidden="1" customWidth="1" outlineLevel="1"/>
    <col min="17" max="17" width="2"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9.140625" collapsed="1"/>
  </cols>
  <sheetData>
    <row r="1" spans="1:44"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51"/>
      <c r="U1" s="51"/>
      <c r="V1" s="51"/>
      <c r="W1" s="30"/>
      <c r="X1" s="30"/>
      <c r="Y1" s="30"/>
      <c r="Z1" s="30"/>
      <c r="AA1" s="30"/>
      <c r="AB1" s="30"/>
      <c r="AC1" s="30"/>
      <c r="AD1" s="30"/>
      <c r="AE1" s="30"/>
      <c r="AF1" s="30"/>
      <c r="AG1" s="30"/>
      <c r="AH1" s="30"/>
      <c r="AI1" s="30"/>
      <c r="AJ1" s="30"/>
      <c r="AK1" s="30"/>
      <c r="AL1" s="30"/>
      <c r="AM1" s="30"/>
      <c r="AN1" s="30"/>
      <c r="AO1" s="30"/>
      <c r="AP1" s="30"/>
      <c r="AQ1" s="30"/>
      <c r="AR1" s="30"/>
    </row>
    <row r="2" spans="1:44" ht="16.5" x14ac:dyDescent="0.3">
      <c r="A2" s="44" t="s">
        <v>92</v>
      </c>
      <c r="B2" s="71" t="str">
        <f>Masterdata!$D$27</f>
        <v>00:00</v>
      </c>
      <c r="C2" s="30"/>
      <c r="D2" s="30"/>
      <c r="E2" s="30"/>
      <c r="F2" s="30"/>
      <c r="G2" s="30"/>
      <c r="H2" s="30"/>
      <c r="I2" s="30"/>
      <c r="J2" s="30"/>
      <c r="K2" s="30"/>
      <c r="L2" s="90"/>
      <c r="R2" s="106"/>
      <c r="S2" s="107"/>
      <c r="T2" s="51"/>
      <c r="U2" s="51"/>
      <c r="V2" s="51"/>
      <c r="W2" s="30"/>
      <c r="X2" s="30"/>
      <c r="Y2" s="30"/>
      <c r="Z2" s="30"/>
      <c r="AA2" s="30"/>
      <c r="AB2" s="30"/>
      <c r="AC2" s="30"/>
      <c r="AD2" s="30"/>
      <c r="AE2" s="30"/>
      <c r="AF2" s="30"/>
      <c r="AG2" s="30"/>
      <c r="AH2" s="30"/>
      <c r="AI2" s="30"/>
      <c r="AJ2" s="30"/>
      <c r="AK2" s="30"/>
      <c r="AL2" s="30"/>
      <c r="AM2" s="30"/>
      <c r="AN2" s="30"/>
      <c r="AO2" s="30"/>
      <c r="AP2" s="30"/>
      <c r="AQ2" s="30"/>
      <c r="AR2" s="30"/>
    </row>
    <row r="3" spans="1:44" ht="31.5" customHeight="1" x14ac:dyDescent="0.25">
      <c r="A3" s="47" t="s">
        <v>109</v>
      </c>
      <c r="B3" s="71" t="str">
        <f>IF(Q39&lt;0,"-"&amp;TEXT(ABS(Q39/24),"[tt]:mm"),TEXT(Q39/24,"[tt]:mm"))</f>
        <v>00:00</v>
      </c>
      <c r="C3" s="30"/>
      <c r="D3" s="30"/>
      <c r="E3" s="30"/>
      <c r="F3" s="30"/>
      <c r="G3" s="30"/>
      <c r="H3" s="30"/>
      <c r="I3" s="30"/>
      <c r="J3" s="30"/>
      <c r="K3" s="30"/>
      <c r="L3" s="91" t="s">
        <v>18</v>
      </c>
      <c r="R3" s="108" t="s">
        <v>130</v>
      </c>
      <c r="S3" s="109"/>
      <c r="T3" s="52"/>
      <c r="U3" s="52"/>
      <c r="V3" s="52"/>
      <c r="W3" s="30"/>
      <c r="X3" s="30"/>
      <c r="Y3" s="30"/>
      <c r="Z3" s="30"/>
      <c r="AA3" s="30"/>
      <c r="AB3" s="30"/>
      <c r="AC3" s="30"/>
      <c r="AD3" s="30"/>
      <c r="AE3" s="30"/>
      <c r="AF3" s="30"/>
      <c r="AG3" s="30"/>
      <c r="AH3" s="30"/>
      <c r="AI3" s="30"/>
      <c r="AJ3" s="30"/>
      <c r="AK3" s="30"/>
      <c r="AL3" s="30"/>
      <c r="AM3" s="30"/>
      <c r="AN3" s="30"/>
      <c r="AO3" s="30"/>
      <c r="AP3" s="30"/>
      <c r="AQ3" s="30"/>
      <c r="AR3" s="30"/>
    </row>
    <row r="4" spans="1:44" ht="54.95" customHeight="1" x14ac:dyDescent="0.25">
      <c r="A4" s="17" t="s">
        <v>110</v>
      </c>
      <c r="B4" s="48">
        <f>Masterdata!$B$5</f>
        <v>2025</v>
      </c>
      <c r="C4" s="30"/>
      <c r="D4" s="30"/>
      <c r="E4" s="30"/>
      <c r="F4" s="30"/>
      <c r="G4" s="30"/>
      <c r="H4" s="30"/>
      <c r="I4" s="30"/>
      <c r="J4" s="30"/>
      <c r="K4" s="30"/>
      <c r="L4" s="92" t="s">
        <v>19</v>
      </c>
      <c r="R4" s="110" t="s">
        <v>132</v>
      </c>
      <c r="S4" s="111"/>
      <c r="T4" s="53"/>
      <c r="U4" s="53"/>
      <c r="V4" s="53"/>
      <c r="W4" s="30"/>
      <c r="X4" s="30"/>
      <c r="Y4" s="30"/>
      <c r="Z4" s="30"/>
      <c r="AA4" s="30"/>
      <c r="AB4" s="30"/>
      <c r="AC4" s="30"/>
      <c r="AD4" s="30"/>
      <c r="AE4" s="30"/>
      <c r="AF4" s="30"/>
      <c r="AG4" s="30"/>
      <c r="AH4" s="30"/>
      <c r="AI4" s="30"/>
      <c r="AJ4" s="30"/>
      <c r="AK4" s="30"/>
      <c r="AL4" s="30"/>
      <c r="AM4" s="30"/>
      <c r="AN4" s="30"/>
      <c r="AO4" s="30"/>
      <c r="AP4" s="30"/>
      <c r="AQ4" s="30"/>
      <c r="AR4" s="30"/>
    </row>
    <row r="5" spans="1:44" ht="16.5" thickBot="1" x14ac:dyDescent="0.3">
      <c r="A5" s="13" t="s">
        <v>89</v>
      </c>
      <c r="B5" s="18" t="s">
        <v>129</v>
      </c>
      <c r="C5" s="30"/>
      <c r="D5" s="30"/>
      <c r="E5" s="30"/>
      <c r="F5" s="30"/>
      <c r="G5" s="30"/>
      <c r="H5" s="30"/>
      <c r="I5" s="30"/>
      <c r="J5" s="30"/>
      <c r="K5" s="30"/>
      <c r="L5" s="93" t="s">
        <v>118</v>
      </c>
      <c r="M5" s="94"/>
      <c r="N5" s="94"/>
      <c r="O5" s="94"/>
      <c r="P5" s="94"/>
      <c r="Q5" s="94"/>
      <c r="R5" s="112" t="s">
        <v>119</v>
      </c>
      <c r="S5" s="113"/>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6.5" thickBot="1"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Q7" s="30"/>
      <c r="R7" s="102" t="s">
        <v>121</v>
      </c>
      <c r="S7" s="103"/>
      <c r="T7" s="30"/>
      <c r="U7" s="30"/>
      <c r="V7" s="30" t="s">
        <v>27</v>
      </c>
      <c r="W7" s="30">
        <v>5</v>
      </c>
      <c r="X7" s="30"/>
      <c r="Y7" s="30"/>
      <c r="Z7" s="30"/>
      <c r="AA7" s="30"/>
      <c r="AB7" s="30"/>
      <c r="AC7" s="30"/>
      <c r="AD7" s="30"/>
      <c r="AE7" s="30"/>
      <c r="AF7" s="30"/>
      <c r="AG7" s="30"/>
      <c r="AH7" s="30"/>
      <c r="AI7" s="30"/>
      <c r="AJ7" s="30"/>
      <c r="AK7" s="30"/>
      <c r="AL7" s="30"/>
      <c r="AM7" s="30"/>
      <c r="AN7" s="30"/>
      <c r="AO7" s="30"/>
      <c r="AP7" s="30"/>
      <c r="AQ7" s="30"/>
      <c r="AR7" s="30"/>
    </row>
    <row r="8" spans="1:44" ht="15.75" x14ac:dyDescent="0.25">
      <c r="A8" s="7">
        <f>WEEKNUM($B8,21)</f>
        <v>40</v>
      </c>
      <c r="B8" s="8">
        <f>DATE(Masterdata!$B$5,10,1)</f>
        <v>45931</v>
      </c>
      <c r="C8" s="9" t="str" cm="1">
        <f t="array" ref="C8">_xlfn.XLOOKUP(E8,Masterdata!$B$31:$B$44,Masterdata!$A$31:$A$44,_xlfn.SWITCH(WEEKDAY($D8, 2), 1, "Monday", 2, "Tuesday", 3, "Wednesday", 4, "Thursday", 5, "Friday", 6, "Saturday", 7, "Sunday"),0)</f>
        <v>Wednesday</v>
      </c>
      <c r="D8" s="30">
        <f t="shared" ref="D8:D38" si="0">WEEKDAY($B8, 2)+1</f>
        <v>4</v>
      </c>
      <c r="E8" s="72">
        <f>$B8</f>
        <v>45931</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0.30833333333333335</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73" t="str">
        <f>LEFT(L8,1)</f>
        <v>0</v>
      </c>
      <c r="N8" s="25" t="str">
        <f>IF($M8="-",LEFT($L8,3),LEFT($L8,2))</f>
        <v>0:</v>
      </c>
      <c r="O8" s="56" t="str">
        <f>IF($M8="-",MID($L8,5,2),MID($L8,4,2))</f>
        <v>0</v>
      </c>
      <c r="P8" s="57">
        <f>O8/60</f>
        <v>0</v>
      </c>
      <c r="Q8" s="31">
        <f>IF(M8="-",N8-P8,N8+P8)</f>
        <v>0</v>
      </c>
      <c r="R8" s="101"/>
      <c r="S8" s="101"/>
      <c r="T8" s="30"/>
      <c r="U8" s="30"/>
      <c r="V8" s="30" t="s">
        <v>28</v>
      </c>
      <c r="W8" s="74">
        <f>B1/W7</f>
        <v>7.4</v>
      </c>
      <c r="X8" s="30">
        <v>0</v>
      </c>
      <c r="Y8" s="75"/>
      <c r="Z8" s="30"/>
      <c r="AA8" s="30"/>
      <c r="AB8" s="30"/>
      <c r="AC8" s="30"/>
      <c r="AD8" s="30"/>
      <c r="AE8" s="30"/>
      <c r="AF8" s="30"/>
      <c r="AG8" s="30"/>
      <c r="AH8" s="30"/>
      <c r="AI8" s="30"/>
      <c r="AJ8" s="30"/>
      <c r="AK8" s="30"/>
      <c r="AL8" s="30"/>
      <c r="AM8" s="30"/>
      <c r="AN8" s="30"/>
      <c r="AO8" s="30"/>
      <c r="AP8" s="30"/>
      <c r="AQ8" s="30"/>
      <c r="AR8" s="30"/>
    </row>
    <row r="9" spans="1:44" ht="15.75" x14ac:dyDescent="0.25">
      <c r="A9" s="7">
        <f t="shared" ref="A9:A38" si="1">WEEKNUM($B9,21)</f>
        <v>40</v>
      </c>
      <c r="B9" s="8">
        <f>B8+1</f>
        <v>45932</v>
      </c>
      <c r="C9" s="9" t="str" cm="1">
        <f t="array" ref="C9">_xlfn.XLOOKUP(E9,Masterdata!$B$31:$B$44,Masterdata!$A$31:$A$44,_xlfn.SWITCH(WEEKDAY($D9, 2), 1, "Monday", 2, "Tuesday", 3, "Wednesday", 4, "Thursday", 5, "Friday", 6, "Saturday", 7, "Sunday"),0)</f>
        <v>Thursday</v>
      </c>
      <c r="D9" s="30">
        <f t="shared" si="0"/>
        <v>5</v>
      </c>
      <c r="E9" s="72">
        <f t="shared" ref="E9:E38" si="2">$B9</f>
        <v>45932</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0.30833333333333335</v>
      </c>
      <c r="H9" s="11">
        <v>0</v>
      </c>
      <c r="I9" s="11">
        <v>0</v>
      </c>
      <c r="J9" s="11">
        <v>0</v>
      </c>
      <c r="K9" s="27" t="str">
        <f t="shared" ref="K9:K38"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73" t="str">
        <f t="shared" ref="M9:M19" si="4">LEFT(L9,1)</f>
        <v>0</v>
      </c>
      <c r="N9" s="25" t="str">
        <f t="shared" ref="N9:N38" si="5">IF($M9="-",LEFT($L9,3),LEFT($L9,2))</f>
        <v>0:</v>
      </c>
      <c r="O9" s="56" t="str">
        <f t="shared" ref="O9:O38" si="6">IF($M9="-",MID($L9,5,2),MID($L9,4,2))</f>
        <v>0</v>
      </c>
      <c r="P9" s="57">
        <f t="shared" ref="P9:P13" si="7">O9/60</f>
        <v>0</v>
      </c>
      <c r="Q9" s="31">
        <f t="shared" ref="Q9:Q13" si="8">IF(M9="-",N9-P9,N9+P9)</f>
        <v>0</v>
      </c>
      <c r="R9" s="101"/>
      <c r="S9" s="101"/>
      <c r="T9" s="30"/>
      <c r="U9" s="30"/>
      <c r="V9" s="30" t="s">
        <v>29</v>
      </c>
      <c r="W9" s="75">
        <f>W8/24</f>
        <v>0.30833333333333335</v>
      </c>
      <c r="X9" s="30"/>
      <c r="Y9" s="30"/>
      <c r="Z9" s="30"/>
      <c r="AA9" s="30"/>
      <c r="AB9" s="30"/>
      <c r="AC9" s="30"/>
      <c r="AD9" s="30"/>
      <c r="AE9" s="30"/>
      <c r="AF9" s="30"/>
      <c r="AG9" s="30"/>
      <c r="AH9" s="30"/>
      <c r="AI9" s="30"/>
      <c r="AJ9" s="30"/>
      <c r="AK9" s="30"/>
      <c r="AL9" s="30"/>
      <c r="AM9" s="30"/>
      <c r="AN9" s="30"/>
      <c r="AO9" s="30"/>
      <c r="AP9" s="30"/>
      <c r="AQ9" s="30"/>
      <c r="AR9" s="30"/>
    </row>
    <row r="10" spans="1:44" ht="15.75" x14ac:dyDescent="0.25">
      <c r="A10" s="7">
        <f t="shared" si="1"/>
        <v>40</v>
      </c>
      <c r="B10" s="8">
        <f t="shared" ref="B10:B38" si="9">B9+1</f>
        <v>45933</v>
      </c>
      <c r="C10" s="9" t="str" cm="1">
        <f t="array" ref="C10">_xlfn.XLOOKUP(E10,Masterdata!$B$31:$B$44,Masterdata!$A$31:$A$44,_xlfn.SWITCH(WEEKDAY($D10, 2), 1, "Monday", 2, "Tuesday", 3, "Wednesday", 4, "Thursday", 5, "Friday", 6, "Saturday", 7, "Sunday"),0)</f>
        <v>Friday</v>
      </c>
      <c r="D10" s="30">
        <f t="shared" si="0"/>
        <v>6</v>
      </c>
      <c r="E10" s="72">
        <f t="shared" si="2"/>
        <v>45933</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0.30833333333333335</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73" t="str">
        <f t="shared" si="4"/>
        <v>0</v>
      </c>
      <c r="N10" s="25" t="str">
        <f t="shared" si="5"/>
        <v>0:</v>
      </c>
      <c r="O10" s="56" t="str">
        <f t="shared" si="6"/>
        <v>0</v>
      </c>
      <c r="P10" s="57">
        <f t="shared" si="7"/>
        <v>0</v>
      </c>
      <c r="Q10" s="31">
        <f t="shared" si="8"/>
        <v>0</v>
      </c>
      <c r="R10" s="101"/>
      <c r="S10" s="101"/>
      <c r="T10" s="30" t="s">
        <v>18</v>
      </c>
      <c r="U10" s="30" t="s">
        <v>30</v>
      </c>
      <c r="V10" s="30" t="s">
        <v>31</v>
      </c>
      <c r="W10" s="31">
        <f>(B1/37)*160.33</f>
        <v>160.33000000000001</v>
      </c>
      <c r="X10" s="30"/>
      <c r="Y10" s="30"/>
      <c r="Z10" s="30"/>
      <c r="AA10" s="30"/>
      <c r="AB10" s="30"/>
      <c r="AC10" s="30"/>
      <c r="AD10" s="30"/>
      <c r="AE10" s="30"/>
      <c r="AF10" s="30"/>
      <c r="AG10" s="30"/>
      <c r="AH10" s="30"/>
      <c r="AI10" s="30"/>
      <c r="AJ10" s="30"/>
      <c r="AK10" s="30"/>
      <c r="AL10" s="30"/>
      <c r="AM10" s="30"/>
      <c r="AN10" s="30"/>
      <c r="AO10" s="30"/>
      <c r="AP10" s="30"/>
      <c r="AQ10" s="30"/>
      <c r="AR10" s="30"/>
    </row>
    <row r="11" spans="1:44" ht="15.75" x14ac:dyDescent="0.25">
      <c r="A11" s="7">
        <f t="shared" si="1"/>
        <v>40</v>
      </c>
      <c r="B11" s="8">
        <f t="shared" si="9"/>
        <v>45934</v>
      </c>
      <c r="C11" s="9" t="str" cm="1">
        <f t="array" ref="C11">_xlfn.XLOOKUP(E11,Masterdata!$B$31:$B$44,Masterdata!$A$31:$A$44,_xlfn.SWITCH(WEEKDAY($D11, 2), 1, "Monday", 2, "Tuesday", 3, "Wednesday", 4, "Thursday", 5, "Friday", 6, "Saturday", 7, "Sunday"),0)</f>
        <v>Saturday</v>
      </c>
      <c r="D11" s="30">
        <f t="shared" si="0"/>
        <v>7</v>
      </c>
      <c r="E11" s="72">
        <f t="shared" si="2"/>
        <v>45934</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73" t="str">
        <f t="shared" si="4"/>
        <v>0</v>
      </c>
      <c r="N11" s="25" t="str">
        <f t="shared" si="5"/>
        <v>0:</v>
      </c>
      <c r="O11" s="56" t="str">
        <f t="shared" si="6"/>
        <v>0</v>
      </c>
      <c r="P11" s="57">
        <f t="shared" si="7"/>
        <v>0</v>
      </c>
      <c r="Q11" s="31">
        <f t="shared" si="8"/>
        <v>0</v>
      </c>
      <c r="R11" s="101"/>
      <c r="S11" s="10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75" x14ac:dyDescent="0.25">
      <c r="A12" s="7">
        <f t="shared" si="1"/>
        <v>40</v>
      </c>
      <c r="B12" s="8">
        <f t="shared" si="9"/>
        <v>45935</v>
      </c>
      <c r="C12" s="9" t="str" cm="1">
        <f t="array" ref="C12">_xlfn.XLOOKUP(E12,Masterdata!$B$31:$B$44,Masterdata!$A$31:$A$44,_xlfn.SWITCH(WEEKDAY($D12, 2), 1, "Monday", 2, "Tuesday", 3, "Wednesday", 4, "Thursday", 5, "Friday", 6, "Saturday", 7, "Sunday"),0)</f>
        <v>Sunday</v>
      </c>
      <c r="D12" s="30">
        <f t="shared" si="0"/>
        <v>8</v>
      </c>
      <c r="E12" s="72">
        <f t="shared" si="2"/>
        <v>45935</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73" t="str">
        <f t="shared" si="4"/>
        <v>0</v>
      </c>
      <c r="N12" s="25" t="str">
        <f t="shared" si="5"/>
        <v>0:</v>
      </c>
      <c r="O12" s="56" t="str">
        <f t="shared" si="6"/>
        <v>0</v>
      </c>
      <c r="P12" s="57">
        <f t="shared" si="7"/>
        <v>0</v>
      </c>
      <c r="Q12" s="31">
        <f t="shared" si="8"/>
        <v>0</v>
      </c>
      <c r="R12" s="101"/>
      <c r="S12" s="101"/>
      <c r="T12" s="30"/>
      <c r="U12" s="30"/>
      <c r="V12" s="30"/>
      <c r="W12" s="31"/>
      <c r="X12" s="30"/>
      <c r="Y12" s="30"/>
      <c r="Z12" s="30"/>
      <c r="AA12" s="30"/>
      <c r="AB12" s="30"/>
      <c r="AC12" s="30"/>
      <c r="AD12" s="30"/>
      <c r="AE12" s="30"/>
      <c r="AF12" s="30"/>
      <c r="AG12" s="30"/>
      <c r="AH12" s="30"/>
      <c r="AI12" s="30"/>
      <c r="AJ12" s="30"/>
      <c r="AK12" s="30"/>
      <c r="AL12" s="30"/>
      <c r="AM12" s="30"/>
      <c r="AN12" s="30"/>
      <c r="AO12" s="30"/>
      <c r="AP12" s="30"/>
      <c r="AQ12" s="30"/>
      <c r="AR12" s="30"/>
    </row>
    <row r="13" spans="1:44" ht="15.75" x14ac:dyDescent="0.25">
      <c r="A13" s="7">
        <f t="shared" si="1"/>
        <v>41</v>
      </c>
      <c r="B13" s="8">
        <f t="shared" si="9"/>
        <v>45936</v>
      </c>
      <c r="C13" s="9" t="str" cm="1">
        <f t="array" ref="C13">_xlfn.XLOOKUP(E13,Masterdata!$B$31:$B$44,Masterdata!$A$31:$A$44,_xlfn.SWITCH(WEEKDAY($D13, 2), 1, "Monday", 2, "Tuesday", 3, "Wednesday", 4, "Thursday", 5, "Friday", 6, "Saturday", 7, "Sunday"),0)</f>
        <v>Monday</v>
      </c>
      <c r="D13" s="30">
        <f t="shared" si="0"/>
        <v>2</v>
      </c>
      <c r="E13" s="72">
        <f t="shared" si="2"/>
        <v>45936</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0.30833333333333335</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73" t="str">
        <f t="shared" si="4"/>
        <v>0</v>
      </c>
      <c r="N13" s="25" t="str">
        <f t="shared" si="5"/>
        <v>0:</v>
      </c>
      <c r="O13" s="56" t="str">
        <f t="shared" si="6"/>
        <v>0</v>
      </c>
      <c r="P13" s="57">
        <f t="shared" si="7"/>
        <v>0</v>
      </c>
      <c r="Q13" s="31">
        <f t="shared" si="8"/>
        <v>0</v>
      </c>
      <c r="R13" s="100"/>
      <c r="S13" s="100"/>
      <c r="T13" s="30"/>
      <c r="U13" s="30"/>
      <c r="V13" s="30"/>
      <c r="W13" s="76"/>
      <c r="X13" s="30"/>
      <c r="Y13" s="30"/>
      <c r="Z13" s="30"/>
      <c r="AA13" s="30"/>
      <c r="AB13" s="30"/>
      <c r="AC13" s="30"/>
      <c r="AD13" s="30"/>
      <c r="AE13" s="30"/>
      <c r="AF13" s="30"/>
      <c r="AG13" s="30"/>
      <c r="AH13" s="30"/>
      <c r="AI13" s="30"/>
      <c r="AJ13" s="30"/>
      <c r="AK13" s="30"/>
      <c r="AL13" s="30"/>
      <c r="AM13" s="30"/>
      <c r="AN13" s="30"/>
      <c r="AO13" s="30"/>
      <c r="AP13" s="30"/>
      <c r="AQ13" s="30"/>
      <c r="AR13" s="30"/>
    </row>
    <row r="14" spans="1:44" ht="15.75" x14ac:dyDescent="0.25">
      <c r="A14" s="7">
        <f t="shared" si="1"/>
        <v>41</v>
      </c>
      <c r="B14" s="8">
        <f t="shared" si="9"/>
        <v>45937</v>
      </c>
      <c r="C14" s="9" t="str" cm="1">
        <f t="array" ref="C14">_xlfn.XLOOKUP(E14,Masterdata!$B$31:$B$44,Masterdata!$A$31:$A$44,_xlfn.SWITCH(WEEKDAY($D14, 2), 1, "Monday", 2, "Tuesday", 3, "Wednesday", 4, "Thursday", 5, "Friday", 6, "Saturday", 7, "Sunday"),0)</f>
        <v>Tuesday</v>
      </c>
      <c r="D14" s="30">
        <f t="shared" si="0"/>
        <v>3</v>
      </c>
      <c r="E14" s="72">
        <f t="shared" si="2"/>
        <v>45937</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0.30833333333333335</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73" t="str">
        <f t="shared" si="4"/>
        <v>0</v>
      </c>
      <c r="N14" s="25" t="str">
        <f t="shared" si="5"/>
        <v>0:</v>
      </c>
      <c r="O14" s="56" t="str">
        <f t="shared" si="6"/>
        <v>0</v>
      </c>
      <c r="P14" s="57">
        <f>O14/60</f>
        <v>0</v>
      </c>
      <c r="Q14" s="31">
        <f>IF(M14="-",N14-P14,N14+P14)</f>
        <v>0</v>
      </c>
      <c r="R14" s="100"/>
      <c r="S14" s="10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75" x14ac:dyDescent="0.25">
      <c r="A15" s="7">
        <f t="shared" si="1"/>
        <v>41</v>
      </c>
      <c r="B15" s="8">
        <f t="shared" si="9"/>
        <v>45938</v>
      </c>
      <c r="C15" s="9" t="str" cm="1">
        <f t="array" ref="C15">_xlfn.XLOOKUP(E15,Masterdata!$B$31:$B$44,Masterdata!$A$31:$A$44,_xlfn.SWITCH(WEEKDAY($D15, 2), 1, "Monday", 2, "Tuesday", 3, "Wednesday", 4, "Thursday", 5, "Friday", 6, "Saturday", 7, "Sunday"),0)</f>
        <v>Wednesday</v>
      </c>
      <c r="D15" s="30">
        <f t="shared" si="0"/>
        <v>4</v>
      </c>
      <c r="E15" s="72">
        <f t="shared" si="2"/>
        <v>45938</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0.30833333333333335</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73" t="str">
        <f t="shared" si="4"/>
        <v>0</v>
      </c>
      <c r="N15" s="25" t="str">
        <f t="shared" si="5"/>
        <v>0:</v>
      </c>
      <c r="O15" s="56" t="str">
        <f t="shared" si="6"/>
        <v>0</v>
      </c>
      <c r="P15" s="57">
        <f t="shared" ref="P15:P38" si="10">O15/60</f>
        <v>0</v>
      </c>
      <c r="Q15" s="31">
        <f t="shared" ref="Q15:Q19" si="11">IF(M15="-",N15-P15,N15+P15)</f>
        <v>0</v>
      </c>
      <c r="R15" s="100"/>
      <c r="S15" s="100"/>
      <c r="T15" s="30" t="s">
        <v>32</v>
      </c>
      <c r="U15" s="30" t="s">
        <v>33</v>
      </c>
      <c r="V15" s="30" t="s">
        <v>34</v>
      </c>
      <c r="W15" s="31">
        <f>W10-W13</f>
        <v>160.33000000000001</v>
      </c>
      <c r="X15" s="30"/>
      <c r="Y15" s="30"/>
      <c r="Z15" s="30"/>
      <c r="AA15" s="30"/>
      <c r="AB15" s="30"/>
      <c r="AC15" s="30"/>
      <c r="AD15" s="30"/>
      <c r="AE15" s="30"/>
      <c r="AF15" s="30"/>
      <c r="AG15" s="30"/>
      <c r="AH15" s="30"/>
      <c r="AI15" s="30"/>
      <c r="AJ15" s="30"/>
      <c r="AK15" s="30"/>
      <c r="AL15" s="30"/>
      <c r="AM15" s="30"/>
      <c r="AN15" s="30"/>
      <c r="AO15" s="30"/>
      <c r="AP15" s="30"/>
      <c r="AQ15" s="30"/>
      <c r="AR15" s="30"/>
    </row>
    <row r="16" spans="1:44" ht="15.75" x14ac:dyDescent="0.25">
      <c r="A16" s="7">
        <f t="shared" si="1"/>
        <v>41</v>
      </c>
      <c r="B16" s="8">
        <f t="shared" si="9"/>
        <v>45939</v>
      </c>
      <c r="C16" s="9" t="str" cm="1">
        <f t="array" ref="C16">_xlfn.XLOOKUP(E16,Masterdata!$B$31:$B$44,Masterdata!$A$31:$A$44,_xlfn.SWITCH(WEEKDAY($D16, 2), 1, "Monday", 2, "Tuesday", 3, "Wednesday", 4, "Thursday", 5, "Friday", 6, "Saturday", 7, "Sunday"),0)</f>
        <v>Thursday</v>
      </c>
      <c r="D16" s="30">
        <f t="shared" si="0"/>
        <v>5</v>
      </c>
      <c r="E16" s="72">
        <f t="shared" si="2"/>
        <v>45939</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0.30833333333333335</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73" t="str">
        <f t="shared" si="4"/>
        <v>0</v>
      </c>
      <c r="N16" s="25" t="str">
        <f t="shared" si="5"/>
        <v>0:</v>
      </c>
      <c r="O16" s="56" t="str">
        <f t="shared" si="6"/>
        <v>0</v>
      </c>
      <c r="P16" s="57">
        <f t="shared" si="10"/>
        <v>0</v>
      </c>
      <c r="Q16" s="31">
        <f t="shared" si="11"/>
        <v>0</v>
      </c>
      <c r="R16" s="100"/>
      <c r="S16" s="100"/>
      <c r="T16" s="30" t="s">
        <v>35</v>
      </c>
      <c r="U16" s="30" t="s">
        <v>36</v>
      </c>
      <c r="V16" s="30" t="s">
        <v>37</v>
      </c>
      <c r="W16" s="31" t="e">
        <f>SUM(#REF!)</f>
        <v>#REF!</v>
      </c>
      <c r="X16" s="30"/>
      <c r="Y16" s="30"/>
      <c r="Z16" s="30"/>
      <c r="AA16" s="30"/>
      <c r="AB16" s="30"/>
      <c r="AC16" s="30"/>
      <c r="AD16" s="30"/>
      <c r="AE16" s="30"/>
      <c r="AF16" s="30"/>
      <c r="AG16" s="30"/>
      <c r="AH16" s="30"/>
      <c r="AI16" s="30"/>
      <c r="AJ16" s="30"/>
      <c r="AK16" s="30"/>
      <c r="AL16" s="30"/>
      <c r="AM16" s="30"/>
      <c r="AN16" s="30"/>
      <c r="AO16" s="30"/>
      <c r="AP16" s="30"/>
      <c r="AQ16" s="30"/>
      <c r="AR16" s="30"/>
    </row>
    <row r="17" spans="1:44" ht="15.75" x14ac:dyDescent="0.25">
      <c r="A17" s="7">
        <f t="shared" si="1"/>
        <v>41</v>
      </c>
      <c r="B17" s="8">
        <f t="shared" si="9"/>
        <v>45940</v>
      </c>
      <c r="C17" s="9" t="str" cm="1">
        <f t="array" ref="C17">_xlfn.XLOOKUP(E17,Masterdata!$B$31:$B$44,Masterdata!$A$31:$A$44,_xlfn.SWITCH(WEEKDAY($D17, 2), 1, "Monday", 2, "Tuesday", 3, "Wednesday", 4, "Thursday", 5, "Friday", 6, "Saturday", 7, "Sunday"),0)</f>
        <v>Friday</v>
      </c>
      <c r="D17" s="30">
        <f t="shared" si="0"/>
        <v>6</v>
      </c>
      <c r="E17" s="72">
        <f t="shared" si="2"/>
        <v>45940</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0.30833333333333335</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73" t="str">
        <f t="shared" si="4"/>
        <v>0</v>
      </c>
      <c r="N17" s="25" t="str">
        <f t="shared" si="5"/>
        <v>0:</v>
      </c>
      <c r="O17" s="56" t="str">
        <f t="shared" si="6"/>
        <v>0</v>
      </c>
      <c r="P17" s="57">
        <f t="shared" si="10"/>
        <v>0</v>
      </c>
      <c r="Q17" s="31">
        <f t="shared" si="11"/>
        <v>0</v>
      </c>
      <c r="R17" s="100"/>
      <c r="S17" s="100"/>
      <c r="T17" s="30" t="s">
        <v>19</v>
      </c>
      <c r="U17" s="30" t="s">
        <v>38</v>
      </c>
      <c r="V17" s="30" t="s">
        <v>39</v>
      </c>
      <c r="W17" s="31" t="e">
        <f>W15-W16</f>
        <v>#REF!</v>
      </c>
      <c r="X17" s="30"/>
      <c r="Y17" s="30"/>
      <c r="Z17" s="30"/>
      <c r="AA17" s="30"/>
      <c r="AB17" s="30"/>
      <c r="AC17" s="30"/>
      <c r="AD17" s="30"/>
      <c r="AE17" s="30"/>
      <c r="AF17" s="30"/>
      <c r="AG17" s="30"/>
      <c r="AH17" s="30"/>
      <c r="AI17" s="30"/>
      <c r="AJ17" s="30"/>
      <c r="AK17" s="30"/>
      <c r="AL17" s="30"/>
      <c r="AM17" s="30"/>
      <c r="AN17" s="30"/>
      <c r="AO17" s="30"/>
      <c r="AP17" s="30"/>
      <c r="AQ17" s="30"/>
      <c r="AR17" s="30"/>
    </row>
    <row r="18" spans="1:44" ht="15.75" x14ac:dyDescent="0.25">
      <c r="A18" s="7">
        <f t="shared" si="1"/>
        <v>41</v>
      </c>
      <c r="B18" s="8">
        <f t="shared" si="9"/>
        <v>45941</v>
      </c>
      <c r="C18" s="9" t="str" cm="1">
        <f t="array" ref="C18">_xlfn.XLOOKUP(E18,Masterdata!$B$31:$B$44,Masterdata!$A$31:$A$44,_xlfn.SWITCH(WEEKDAY($D18, 2), 1, "Monday", 2, "Tuesday", 3, "Wednesday", 4, "Thursday", 5, "Friday", 6, "Saturday", 7, "Sunday"),0)</f>
        <v>Saturday</v>
      </c>
      <c r="D18" s="30">
        <f t="shared" si="0"/>
        <v>7</v>
      </c>
      <c r="E18" s="72">
        <f t="shared" si="2"/>
        <v>45941</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73" t="str">
        <f t="shared" si="4"/>
        <v>0</v>
      </c>
      <c r="N18" s="25" t="str">
        <f t="shared" si="5"/>
        <v>0:</v>
      </c>
      <c r="O18" s="56" t="str">
        <f t="shared" si="6"/>
        <v>0</v>
      </c>
      <c r="P18" s="57">
        <f t="shared" si="10"/>
        <v>0</v>
      </c>
      <c r="Q18" s="31">
        <f t="shared" si="11"/>
        <v>0</v>
      </c>
      <c r="R18" s="100"/>
      <c r="S18" s="100"/>
      <c r="T18" s="30"/>
      <c r="U18" s="30"/>
      <c r="V18" s="72"/>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15.75" x14ac:dyDescent="0.25">
      <c r="A19" s="7">
        <f t="shared" si="1"/>
        <v>41</v>
      </c>
      <c r="B19" s="8">
        <f t="shared" si="9"/>
        <v>45942</v>
      </c>
      <c r="C19" s="9" t="str" cm="1">
        <f t="array" ref="C19">_xlfn.XLOOKUP(E19,Masterdata!$B$31:$B$44,Masterdata!$A$31:$A$44,_xlfn.SWITCH(WEEKDAY($D19, 2), 1, "Monday", 2, "Tuesday", 3, "Wednesday", 4, "Thursday", 5, "Friday", 6, "Saturday", 7, "Sunday"),0)</f>
        <v>Sunday</v>
      </c>
      <c r="D19" s="30">
        <f t="shared" si="0"/>
        <v>8</v>
      </c>
      <c r="E19" s="72">
        <f t="shared" si="2"/>
        <v>45942</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73" t="str">
        <f t="shared" si="4"/>
        <v>0</v>
      </c>
      <c r="N19" s="25" t="str">
        <f t="shared" si="5"/>
        <v>0:</v>
      </c>
      <c r="O19" s="56" t="str">
        <f t="shared" si="6"/>
        <v>0</v>
      </c>
      <c r="P19" s="57">
        <f t="shared" si="10"/>
        <v>0</v>
      </c>
      <c r="Q19" s="31">
        <f t="shared" si="11"/>
        <v>0</v>
      </c>
      <c r="R19" s="100"/>
      <c r="S19" s="10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75" x14ac:dyDescent="0.25">
      <c r="A20" s="7">
        <f t="shared" si="1"/>
        <v>42</v>
      </c>
      <c r="B20" s="8">
        <f t="shared" si="9"/>
        <v>45943</v>
      </c>
      <c r="C20" s="9" t="str" cm="1">
        <f t="array" ref="C20">_xlfn.XLOOKUP(E20,Masterdata!$B$31:$B$44,Masterdata!$A$31:$A$44,_xlfn.SWITCH(WEEKDAY($D20, 2), 1, "Monday", 2, "Tuesday", 3, "Wednesday", 4, "Thursday", 5, "Friday", 6, "Saturday", 7, "Sunday"),0)</f>
        <v>Monday</v>
      </c>
      <c r="D20" s="30">
        <f t="shared" si="0"/>
        <v>2</v>
      </c>
      <c r="E20" s="72">
        <f t="shared" si="2"/>
        <v>45943</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0.30833333333333335</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73" t="str">
        <f>LEFT(L20,1)</f>
        <v>0</v>
      </c>
      <c r="N20" s="25" t="str">
        <f t="shared" si="5"/>
        <v>0:</v>
      </c>
      <c r="O20" s="56" t="str">
        <f t="shared" si="6"/>
        <v>0</v>
      </c>
      <c r="P20" s="57">
        <f t="shared" si="10"/>
        <v>0</v>
      </c>
      <c r="Q20" s="31">
        <f>IF(M20="-",N20-P20,N20+P20)</f>
        <v>0</v>
      </c>
      <c r="R20" s="100"/>
      <c r="S20" s="10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15.75" x14ac:dyDescent="0.25">
      <c r="A21" s="7">
        <f t="shared" si="1"/>
        <v>42</v>
      </c>
      <c r="B21" s="8">
        <f t="shared" si="9"/>
        <v>45944</v>
      </c>
      <c r="C21" s="9" t="str" cm="1">
        <f t="array" ref="C21">_xlfn.XLOOKUP(E21,Masterdata!$B$31:$B$44,Masterdata!$A$31:$A$44,_xlfn.SWITCH(WEEKDAY($D21, 2), 1, "Monday", 2, "Tuesday", 3, "Wednesday", 4, "Thursday", 5, "Friday", 6, "Saturday", 7, "Sunday"),0)</f>
        <v>Tuesday</v>
      </c>
      <c r="D21" s="30">
        <f t="shared" si="0"/>
        <v>3</v>
      </c>
      <c r="E21" s="72">
        <f t="shared" si="2"/>
        <v>45944</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0.30833333333333335</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73" t="str">
        <f t="shared" ref="M21:M38" si="12">LEFT(L21,1)</f>
        <v>0</v>
      </c>
      <c r="N21" s="25" t="str">
        <f t="shared" si="5"/>
        <v>0:</v>
      </c>
      <c r="O21" s="56" t="str">
        <f t="shared" si="6"/>
        <v>0</v>
      </c>
      <c r="P21" s="57">
        <f t="shared" si="10"/>
        <v>0</v>
      </c>
      <c r="Q21" s="31">
        <f t="shared" ref="Q21:Q38" si="13">IF(M21="-",N21-P21,N21+P21)</f>
        <v>0</v>
      </c>
      <c r="R21" s="100"/>
      <c r="S21" s="10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ht="15.75" x14ac:dyDescent="0.25">
      <c r="A22" s="7">
        <f t="shared" si="1"/>
        <v>42</v>
      </c>
      <c r="B22" s="8">
        <f t="shared" si="9"/>
        <v>45945</v>
      </c>
      <c r="C22" s="9" t="str" cm="1">
        <f t="array" ref="C22">_xlfn.XLOOKUP(E22,Masterdata!$B$31:$B$44,Masterdata!$A$31:$A$44,_xlfn.SWITCH(WEEKDAY($D22, 2), 1, "Monday", 2, "Tuesday", 3, "Wednesday", 4, "Thursday", 5, "Friday", 6, "Saturday", 7, "Sunday"),0)</f>
        <v>Wednesday</v>
      </c>
      <c r="D22" s="30">
        <f t="shared" si="0"/>
        <v>4</v>
      </c>
      <c r="E22" s="72">
        <f t="shared" si="2"/>
        <v>45945</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0.30833333333333335</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73" t="str">
        <f t="shared" si="12"/>
        <v>0</v>
      </c>
      <c r="N22" s="25" t="str">
        <f t="shared" si="5"/>
        <v>0:</v>
      </c>
      <c r="O22" s="56" t="str">
        <f t="shared" si="6"/>
        <v>0</v>
      </c>
      <c r="P22" s="57">
        <f t="shared" si="10"/>
        <v>0</v>
      </c>
      <c r="Q22" s="31">
        <f t="shared" si="13"/>
        <v>0</v>
      </c>
      <c r="R22" s="100"/>
      <c r="S22" s="10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5.75" x14ac:dyDescent="0.25">
      <c r="A23" s="7">
        <f t="shared" si="1"/>
        <v>42</v>
      </c>
      <c r="B23" s="8">
        <f t="shared" si="9"/>
        <v>45946</v>
      </c>
      <c r="C23" s="9" t="str" cm="1">
        <f t="array" ref="C23">_xlfn.XLOOKUP(E23,Masterdata!$B$31:$B$44,Masterdata!$A$31:$A$44,_xlfn.SWITCH(WEEKDAY($D23, 2), 1, "Monday", 2, "Tuesday", 3, "Wednesday", 4, "Thursday", 5, "Friday", 6, "Saturday", 7, "Sunday"),0)</f>
        <v>Thursday</v>
      </c>
      <c r="D23" s="30">
        <f t="shared" si="0"/>
        <v>5</v>
      </c>
      <c r="E23" s="72">
        <f t="shared" si="2"/>
        <v>45946</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0.30833333333333335</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73" t="str">
        <f t="shared" si="12"/>
        <v>0</v>
      </c>
      <c r="N23" s="25" t="str">
        <f t="shared" si="5"/>
        <v>0:</v>
      </c>
      <c r="O23" s="56" t="str">
        <f t="shared" si="6"/>
        <v>0</v>
      </c>
      <c r="P23" s="57">
        <f t="shared" si="10"/>
        <v>0</v>
      </c>
      <c r="Q23" s="31">
        <f t="shared" si="13"/>
        <v>0</v>
      </c>
      <c r="R23" s="100"/>
      <c r="S23" s="10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15.75" x14ac:dyDescent="0.25">
      <c r="A24" s="7">
        <f t="shared" si="1"/>
        <v>42</v>
      </c>
      <c r="B24" s="8">
        <f t="shared" si="9"/>
        <v>45947</v>
      </c>
      <c r="C24" s="9" t="str" cm="1">
        <f t="array" ref="C24">_xlfn.XLOOKUP(E24,Masterdata!$B$31:$B$44,Masterdata!$A$31:$A$44,_xlfn.SWITCH(WEEKDAY($D24, 2), 1, "Monday", 2, "Tuesday", 3, "Wednesday", 4, "Thursday", 5, "Friday", 6, "Saturday", 7, "Sunday"),0)</f>
        <v>Friday</v>
      </c>
      <c r="D24" s="30">
        <f t="shared" si="0"/>
        <v>6</v>
      </c>
      <c r="E24" s="72">
        <f t="shared" si="2"/>
        <v>45947</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0.30833333333333335</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73" t="str">
        <f t="shared" si="12"/>
        <v>0</v>
      </c>
      <c r="N24" s="25" t="str">
        <f t="shared" si="5"/>
        <v>0:</v>
      </c>
      <c r="O24" s="56" t="str">
        <f t="shared" si="6"/>
        <v>0</v>
      </c>
      <c r="P24" s="57">
        <f t="shared" si="10"/>
        <v>0</v>
      </c>
      <c r="Q24" s="31">
        <f t="shared" si="13"/>
        <v>0</v>
      </c>
      <c r="R24" s="100"/>
      <c r="S24" s="10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5.75" x14ac:dyDescent="0.25">
      <c r="A25" s="7">
        <f t="shared" si="1"/>
        <v>42</v>
      </c>
      <c r="B25" s="8">
        <f t="shared" si="9"/>
        <v>45948</v>
      </c>
      <c r="C25" s="9" t="str" cm="1">
        <f t="array" ref="C25">_xlfn.XLOOKUP(E25,Masterdata!$B$31:$B$44,Masterdata!$A$31:$A$44,_xlfn.SWITCH(WEEKDAY($D25, 2), 1, "Monday", 2, "Tuesday", 3, "Wednesday", 4, "Thursday", 5, "Friday", 6, "Saturday", 7, "Sunday"),0)</f>
        <v>Saturday</v>
      </c>
      <c r="D25" s="30">
        <f t="shared" si="0"/>
        <v>7</v>
      </c>
      <c r="E25" s="72">
        <f t="shared" si="2"/>
        <v>45948</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73" t="str">
        <f t="shared" si="12"/>
        <v>0</v>
      </c>
      <c r="N25" s="25" t="str">
        <f t="shared" si="5"/>
        <v>0:</v>
      </c>
      <c r="O25" s="56" t="str">
        <f t="shared" si="6"/>
        <v>0</v>
      </c>
      <c r="P25" s="57">
        <f t="shared" si="10"/>
        <v>0</v>
      </c>
      <c r="Q25" s="31">
        <f t="shared" si="13"/>
        <v>0</v>
      </c>
      <c r="R25" s="100"/>
      <c r="S25" s="10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ht="15.75" x14ac:dyDescent="0.25">
      <c r="A26" s="7">
        <f t="shared" si="1"/>
        <v>42</v>
      </c>
      <c r="B26" s="8">
        <f t="shared" si="9"/>
        <v>45949</v>
      </c>
      <c r="C26" s="9" t="str" cm="1">
        <f t="array" ref="C26">_xlfn.XLOOKUP(E26,Masterdata!$B$31:$B$44,Masterdata!$A$31:$A$44,_xlfn.SWITCH(WEEKDAY($D26, 2), 1, "Monday", 2, "Tuesday", 3, "Wednesday", 4, "Thursday", 5, "Friday", 6, "Saturday", 7, "Sunday"),0)</f>
        <v>Sunday</v>
      </c>
      <c r="D26" s="30">
        <f t="shared" si="0"/>
        <v>8</v>
      </c>
      <c r="E26" s="72">
        <f t="shared" si="2"/>
        <v>45949</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73" t="str">
        <f t="shared" si="12"/>
        <v>0</v>
      </c>
      <c r="N26" s="25" t="str">
        <f t="shared" si="5"/>
        <v>0:</v>
      </c>
      <c r="O26" s="56" t="str">
        <f t="shared" si="6"/>
        <v>0</v>
      </c>
      <c r="P26" s="57">
        <f t="shared" si="10"/>
        <v>0</v>
      </c>
      <c r="Q26" s="31">
        <f t="shared" si="13"/>
        <v>0</v>
      </c>
      <c r="R26" s="100"/>
      <c r="S26" s="10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5.75" x14ac:dyDescent="0.25">
      <c r="A27" s="7">
        <f t="shared" si="1"/>
        <v>43</v>
      </c>
      <c r="B27" s="8">
        <f t="shared" si="9"/>
        <v>45950</v>
      </c>
      <c r="C27" s="9" t="str" cm="1">
        <f t="array" ref="C27">_xlfn.XLOOKUP(E27,Masterdata!$B$31:$B$44,Masterdata!$A$31:$A$44,_xlfn.SWITCH(WEEKDAY($D27, 2), 1, "Monday", 2, "Tuesday", 3, "Wednesday", 4, "Thursday", 5, "Friday", 6, "Saturday", 7, "Sunday"),0)</f>
        <v>Monday</v>
      </c>
      <c r="D27" s="30">
        <f t="shared" si="0"/>
        <v>2</v>
      </c>
      <c r="E27" s="72">
        <f t="shared" si="2"/>
        <v>45950</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0.30833333333333335</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73" t="str">
        <f t="shared" si="12"/>
        <v>0</v>
      </c>
      <c r="N27" s="25" t="str">
        <f t="shared" si="5"/>
        <v>0:</v>
      </c>
      <c r="O27" s="56" t="str">
        <f t="shared" si="6"/>
        <v>0</v>
      </c>
      <c r="P27" s="57">
        <f t="shared" si="10"/>
        <v>0</v>
      </c>
      <c r="Q27" s="31">
        <f t="shared" si="13"/>
        <v>0</v>
      </c>
      <c r="R27" s="100"/>
      <c r="S27" s="10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ht="15.75" x14ac:dyDescent="0.25">
      <c r="A28" s="7">
        <f t="shared" si="1"/>
        <v>43</v>
      </c>
      <c r="B28" s="8">
        <f t="shared" si="9"/>
        <v>45951</v>
      </c>
      <c r="C28" s="9" t="str" cm="1">
        <f t="array" ref="C28">_xlfn.XLOOKUP(E28,Masterdata!$B$31:$B$44,Masterdata!$A$31:$A$44,_xlfn.SWITCH(WEEKDAY($D28, 2), 1, "Monday", 2, "Tuesday", 3, "Wednesday", 4, "Thursday", 5, "Friday", 6, "Saturday", 7, "Sunday"),0)</f>
        <v>Tuesday</v>
      </c>
      <c r="D28" s="30">
        <f t="shared" si="0"/>
        <v>3</v>
      </c>
      <c r="E28" s="72">
        <f t="shared" si="2"/>
        <v>45951</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0.30833333333333335</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73" t="str">
        <f t="shared" si="12"/>
        <v>0</v>
      </c>
      <c r="N28" s="25" t="str">
        <f t="shared" si="5"/>
        <v>0:</v>
      </c>
      <c r="O28" s="56" t="str">
        <f t="shared" si="6"/>
        <v>0</v>
      </c>
      <c r="P28" s="57">
        <f t="shared" si="10"/>
        <v>0</v>
      </c>
      <c r="Q28" s="31">
        <f t="shared" si="13"/>
        <v>0</v>
      </c>
      <c r="R28" s="100"/>
      <c r="S28" s="10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5.75" x14ac:dyDescent="0.25">
      <c r="A29" s="7">
        <f t="shared" si="1"/>
        <v>43</v>
      </c>
      <c r="B29" s="8">
        <f t="shared" si="9"/>
        <v>45952</v>
      </c>
      <c r="C29" s="9" t="str" cm="1">
        <f t="array" ref="C29">_xlfn.XLOOKUP(E29,Masterdata!$B$31:$B$44,Masterdata!$A$31:$A$44,_xlfn.SWITCH(WEEKDAY($D29, 2), 1, "Monday", 2, "Tuesday", 3, "Wednesday", 4, "Thursday", 5, "Friday", 6, "Saturday", 7, "Sunday"),0)</f>
        <v>Wednesday</v>
      </c>
      <c r="D29" s="30">
        <f t="shared" si="0"/>
        <v>4</v>
      </c>
      <c r="E29" s="72">
        <f t="shared" si="2"/>
        <v>45952</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0.30833333333333335</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73" t="str">
        <f t="shared" si="12"/>
        <v>0</v>
      </c>
      <c r="N29" s="25" t="str">
        <f t="shared" si="5"/>
        <v>0:</v>
      </c>
      <c r="O29" s="56" t="str">
        <f t="shared" si="6"/>
        <v>0</v>
      </c>
      <c r="P29" s="57">
        <f t="shared" si="10"/>
        <v>0</v>
      </c>
      <c r="Q29" s="31">
        <f t="shared" si="13"/>
        <v>0</v>
      </c>
      <c r="R29" s="100"/>
      <c r="S29" s="10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ht="15.75" x14ac:dyDescent="0.25">
      <c r="A30" s="7">
        <f t="shared" si="1"/>
        <v>43</v>
      </c>
      <c r="B30" s="8">
        <f t="shared" si="9"/>
        <v>45953</v>
      </c>
      <c r="C30" s="9" t="str" cm="1">
        <f t="array" ref="C30">_xlfn.XLOOKUP(E30,Masterdata!$B$31:$B$44,Masterdata!$A$31:$A$44,_xlfn.SWITCH(WEEKDAY($D30, 2), 1, "Monday", 2, "Tuesday", 3, "Wednesday", 4, "Thursday", 5, "Friday", 6, "Saturday", 7, "Sunday"),0)</f>
        <v>Thursday</v>
      </c>
      <c r="D30" s="30">
        <f t="shared" si="0"/>
        <v>5</v>
      </c>
      <c r="E30" s="72">
        <f t="shared" si="2"/>
        <v>45953</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0.30833333333333335</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73" t="str">
        <f t="shared" si="12"/>
        <v>0</v>
      </c>
      <c r="N30" s="25" t="str">
        <f t="shared" si="5"/>
        <v>0:</v>
      </c>
      <c r="O30" s="56" t="str">
        <f t="shared" si="6"/>
        <v>0</v>
      </c>
      <c r="P30" s="57">
        <f t="shared" si="10"/>
        <v>0</v>
      </c>
      <c r="Q30" s="31">
        <f t="shared" si="13"/>
        <v>0</v>
      </c>
      <c r="R30" s="100"/>
      <c r="S30" s="10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5.75" x14ac:dyDescent="0.25">
      <c r="A31" s="7">
        <f t="shared" si="1"/>
        <v>43</v>
      </c>
      <c r="B31" s="8">
        <f t="shared" si="9"/>
        <v>45954</v>
      </c>
      <c r="C31" s="9" t="str" cm="1">
        <f t="array" ref="C31">_xlfn.XLOOKUP(E31,Masterdata!$B$31:$B$44,Masterdata!$A$31:$A$44,_xlfn.SWITCH(WEEKDAY($D31, 2), 1, "Monday", 2, "Tuesday", 3, "Wednesday", 4, "Thursday", 5, "Friday", 6, "Saturday", 7, "Sunday"),0)</f>
        <v>Friday</v>
      </c>
      <c r="D31" s="30">
        <f t="shared" si="0"/>
        <v>6</v>
      </c>
      <c r="E31" s="72">
        <f t="shared" si="2"/>
        <v>45954</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0.30833333333333335</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73" t="str">
        <f t="shared" si="12"/>
        <v>0</v>
      </c>
      <c r="N31" s="25" t="str">
        <f t="shared" si="5"/>
        <v>0:</v>
      </c>
      <c r="O31" s="56" t="str">
        <f t="shared" si="6"/>
        <v>0</v>
      </c>
      <c r="P31" s="57">
        <f t="shared" si="10"/>
        <v>0</v>
      </c>
      <c r="Q31" s="31">
        <f t="shared" si="13"/>
        <v>0</v>
      </c>
      <c r="R31" s="100"/>
      <c r="S31" s="10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15.75" x14ac:dyDescent="0.25">
      <c r="A32" s="7">
        <f t="shared" si="1"/>
        <v>43</v>
      </c>
      <c r="B32" s="8">
        <f t="shared" si="9"/>
        <v>45955</v>
      </c>
      <c r="C32" s="9" t="str" cm="1">
        <f t="array" ref="C32">_xlfn.XLOOKUP(E32,Masterdata!$B$31:$B$44,Masterdata!$A$31:$A$44,_xlfn.SWITCH(WEEKDAY($D32, 2), 1, "Monday", 2, "Tuesday", 3, "Wednesday", 4, "Thursday", 5, "Friday", 6, "Saturday", 7, "Sunday"),0)</f>
        <v>Saturday</v>
      </c>
      <c r="D32" s="30">
        <f t="shared" si="0"/>
        <v>7</v>
      </c>
      <c r="E32" s="72">
        <f t="shared" si="2"/>
        <v>45955</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73" t="str">
        <f t="shared" si="12"/>
        <v>0</v>
      </c>
      <c r="N32" s="25" t="str">
        <f t="shared" si="5"/>
        <v>0:</v>
      </c>
      <c r="O32" s="56" t="str">
        <f t="shared" si="6"/>
        <v>0</v>
      </c>
      <c r="P32" s="57">
        <f t="shared" si="10"/>
        <v>0</v>
      </c>
      <c r="Q32" s="31">
        <f t="shared" si="13"/>
        <v>0</v>
      </c>
      <c r="R32" s="100"/>
      <c r="S32" s="10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5.75" x14ac:dyDescent="0.25">
      <c r="A33" s="7">
        <f t="shared" si="1"/>
        <v>43</v>
      </c>
      <c r="B33" s="8">
        <f t="shared" si="9"/>
        <v>45956</v>
      </c>
      <c r="C33" s="9" t="str" cm="1">
        <f t="array" ref="C33">_xlfn.XLOOKUP(E33,Masterdata!$B$31:$B$44,Masterdata!$A$31:$A$44,_xlfn.SWITCH(WEEKDAY($D33, 2), 1, "Monday", 2, "Tuesday", 3, "Wednesday", 4, "Thursday", 5, "Friday", 6, "Saturday", 7, "Sunday"),0)</f>
        <v>Sunday</v>
      </c>
      <c r="D33" s="30">
        <f t="shared" si="0"/>
        <v>8</v>
      </c>
      <c r="E33" s="72">
        <f t="shared" si="2"/>
        <v>45956</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73" t="str">
        <f t="shared" si="12"/>
        <v>0</v>
      </c>
      <c r="N33" s="25" t="str">
        <f t="shared" si="5"/>
        <v>0:</v>
      </c>
      <c r="O33" s="56" t="str">
        <f t="shared" si="6"/>
        <v>0</v>
      </c>
      <c r="P33" s="57">
        <f t="shared" si="10"/>
        <v>0</v>
      </c>
      <c r="Q33" s="31">
        <f t="shared" si="13"/>
        <v>0</v>
      </c>
      <c r="R33" s="100"/>
      <c r="S33" s="10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15.75" x14ac:dyDescent="0.25">
      <c r="A34" s="7">
        <f t="shared" si="1"/>
        <v>44</v>
      </c>
      <c r="B34" s="8">
        <f t="shared" si="9"/>
        <v>45957</v>
      </c>
      <c r="C34" s="9" t="str" cm="1">
        <f t="array" ref="C34">_xlfn.XLOOKUP(E34,Masterdata!$B$31:$B$44,Masterdata!$A$31:$A$44,_xlfn.SWITCH(WEEKDAY($D34, 2), 1, "Monday", 2, "Tuesday", 3, "Wednesday", 4, "Thursday", 5, "Friday", 6, "Saturday", 7, "Sunday"),0)</f>
        <v>Monday</v>
      </c>
      <c r="D34" s="30">
        <f t="shared" si="0"/>
        <v>2</v>
      </c>
      <c r="E34" s="72">
        <f t="shared" si="2"/>
        <v>45957</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0.30833333333333335</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73" t="str">
        <f t="shared" si="12"/>
        <v>0</v>
      </c>
      <c r="N34" s="25" t="str">
        <f t="shared" si="5"/>
        <v>0:</v>
      </c>
      <c r="O34" s="56" t="str">
        <f t="shared" si="6"/>
        <v>0</v>
      </c>
      <c r="P34" s="57">
        <f t="shared" si="10"/>
        <v>0</v>
      </c>
      <c r="Q34" s="31">
        <f t="shared" si="13"/>
        <v>0</v>
      </c>
      <c r="R34" s="100"/>
      <c r="S34" s="10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5.75" x14ac:dyDescent="0.25">
      <c r="A35" s="7">
        <f t="shared" si="1"/>
        <v>44</v>
      </c>
      <c r="B35" s="8">
        <f t="shared" si="9"/>
        <v>45958</v>
      </c>
      <c r="C35" s="9" t="str" cm="1">
        <f t="array" ref="C35">_xlfn.XLOOKUP(E35,Masterdata!$B$31:$B$44,Masterdata!$A$31:$A$44,_xlfn.SWITCH(WEEKDAY($D35, 2), 1, "Monday", 2, "Tuesday", 3, "Wednesday", 4, "Thursday", 5, "Friday", 6, "Saturday", 7, "Sunday"),0)</f>
        <v>Tuesday</v>
      </c>
      <c r="D35" s="30">
        <f t="shared" si="0"/>
        <v>3</v>
      </c>
      <c r="E35" s="72">
        <f t="shared" si="2"/>
        <v>45958</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0.30833333333333335</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73" t="str">
        <f t="shared" si="12"/>
        <v>0</v>
      </c>
      <c r="N35" s="25" t="str">
        <f t="shared" si="5"/>
        <v>0:</v>
      </c>
      <c r="O35" s="56" t="str">
        <f t="shared" si="6"/>
        <v>0</v>
      </c>
      <c r="P35" s="57">
        <f t="shared" si="10"/>
        <v>0</v>
      </c>
      <c r="Q35" s="31">
        <f t="shared" si="13"/>
        <v>0</v>
      </c>
      <c r="R35" s="100"/>
      <c r="S35" s="10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15.75" x14ac:dyDescent="0.25">
      <c r="A36" s="7">
        <f t="shared" si="1"/>
        <v>44</v>
      </c>
      <c r="B36" s="8">
        <f t="shared" si="9"/>
        <v>45959</v>
      </c>
      <c r="C36" s="9" t="str" cm="1">
        <f t="array" ref="C36">_xlfn.XLOOKUP(E36,Masterdata!$B$31:$B$44,Masterdata!$A$31:$A$44,_xlfn.SWITCH(WEEKDAY($D36, 2), 1, "Monday", 2, "Tuesday", 3, "Wednesday", 4, "Thursday", 5, "Friday", 6, "Saturday", 7, "Sunday"),0)</f>
        <v>Wednesday</v>
      </c>
      <c r="D36" s="30">
        <f t="shared" si="0"/>
        <v>4</v>
      </c>
      <c r="E36" s="72">
        <f t="shared" si="2"/>
        <v>45959</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0.30833333333333335</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73" t="str">
        <f t="shared" si="12"/>
        <v>0</v>
      </c>
      <c r="N36" s="25" t="str">
        <f t="shared" si="5"/>
        <v>0:</v>
      </c>
      <c r="O36" s="56" t="str">
        <f t="shared" si="6"/>
        <v>0</v>
      </c>
      <c r="P36" s="57">
        <f t="shared" si="10"/>
        <v>0</v>
      </c>
      <c r="Q36" s="31">
        <f t="shared" si="13"/>
        <v>0</v>
      </c>
      <c r="R36" s="100"/>
      <c r="S36" s="10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ht="15.75" x14ac:dyDescent="0.25">
      <c r="A37" s="7">
        <f t="shared" si="1"/>
        <v>44</v>
      </c>
      <c r="B37" s="8">
        <f t="shared" si="9"/>
        <v>45960</v>
      </c>
      <c r="C37" s="9" t="str" cm="1">
        <f t="array" ref="C37">_xlfn.XLOOKUP(E37,Masterdata!$B$31:$B$44,Masterdata!$A$31:$A$44,_xlfn.SWITCH(WEEKDAY($D37, 2), 1, "Monday", 2, "Tuesday", 3, "Wednesday", 4, "Thursday", 5, "Friday", 6, "Saturday", 7, "Sunday"),0)</f>
        <v>Thursday</v>
      </c>
      <c r="D37" s="30">
        <f t="shared" si="0"/>
        <v>5</v>
      </c>
      <c r="E37" s="72">
        <f t="shared" si="2"/>
        <v>45960</v>
      </c>
      <c r="F37" s="10" t="s">
        <v>18</v>
      </c>
      <c r="G37" s="12">
        <f>IF(AND(F37="N",NOT(OR($C37="Monday", $C37="Tuesday",$C37="Wednesday",$C37="Thursday",$C37="Friday"))),0,IFERROR(
    IF($F37="N", $W$9,
        IF(OR(
            AND(Masterdata!$B$4&lt;&gt;DATE(1900,1,0), Masterdata!$B$4&lt;$E37),
            AND(Masterdata!$B$3&lt;&gt;DATE(1900,1,0), Masterdata!$B$3&gt;$E37)
        ),
        IF($H37&gt;=TIME(0,0,0), "Type in next cell", 0),
        IF($H37&gt;=TIME(0,0,0), "Type in next cell",
            IF($H37&gt;=0, 0,
                IF(NOT(OR($C37="Monday", $C37="Tuesday",$C37="Wednesday",$C37="Thursday",$C37="Friday")), 0, 0)
            )
        )
    )),
"Type in next cell"))</f>
        <v>0.30833333333333335</v>
      </c>
      <c r="H37" s="11">
        <v>0</v>
      </c>
      <c r="I37" s="11">
        <v>0</v>
      </c>
      <c r="J37" s="11">
        <v>0</v>
      </c>
      <c r="K37" s="27" t="str">
        <f t="shared" si="3"/>
        <v>00:00</v>
      </c>
      <c r="L37" s="27" t="str">
        <f>IF(F37="N","0:00",IF(
OR(
AND(Masterdata!$B$4&lt;&gt;DATE(1900,1,0),Masterdata!$B$4&lt;$E37),
AND(Masterdata!$B$3&lt;&gt;DATE(1900,1,0),Masterdata!$B$3&gt;$E37)
),
"0:00",
IF(
$H37&gt;TIME(0,0,0),
IF(
NOT(OR($C37="Monday", $C37="Tuesday",$C37="Wednesday",$C37="Thursday",$C37="Friday")),
TEXT($H37,"[tt]:mm"),
IF($H37-$W$9&gt;=0,TEXT($H37-$W$9,"[tt]:mm"),"-"&amp;TEXT(ABS($H37-$W$9),"[tt]:mm"))
),
IF(
NOT(OR($C37="Monday", $C37="Tuesday",$C37="Wednesday",$C37="Thursday",$C37="Friday")),
IF($J37-$I37&gt;=0,TEXT($J37-$I37,"[tt]:mm"),"-"&amp;TEXT(ABS($J37-$I37),"[tt]:mm")),
IFERROR(
IF($G37-$W$9=0,
IF($G37-$W$9&gt;=0,TEXT($G37-$W$9,"[tt]:mm"),"-"&amp;TEXT(ABS($G37-$W$9),"[tt]:mm")),
IF($J37-$I37&gt;=0,TEXT($J37-$I37,"[tt]:mm"),"-"&amp;TEXT(ABS($J37-$I37),"[tt]:mm"))
),
IF(
$J37-$I37-$W$9&gt;=0,
TEXT($J37-$I37-$W$9,"[tt]:mm"),
"-"&amp;TEXT(ABS($J37-$I37-$W$9),"[tt]:mm")
)
)
)
)
))</f>
        <v>0:00</v>
      </c>
      <c r="M37" s="73" t="str">
        <f t="shared" si="12"/>
        <v>0</v>
      </c>
      <c r="N37" s="25" t="str">
        <f t="shared" si="5"/>
        <v>0:</v>
      </c>
      <c r="O37" s="56" t="str">
        <f t="shared" si="6"/>
        <v>0</v>
      </c>
      <c r="P37" s="57">
        <f t="shared" si="10"/>
        <v>0</v>
      </c>
      <c r="Q37" s="31">
        <f t="shared" si="13"/>
        <v>0</v>
      </c>
      <c r="R37" s="100"/>
      <c r="S37" s="10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15.75" x14ac:dyDescent="0.25">
      <c r="A38" s="7">
        <f t="shared" si="1"/>
        <v>44</v>
      </c>
      <c r="B38" s="8">
        <f t="shared" si="9"/>
        <v>45961</v>
      </c>
      <c r="C38" s="9" t="str" cm="1">
        <f t="array" ref="C38">_xlfn.XLOOKUP(E38,Masterdata!$B$31:$B$44,Masterdata!$A$31:$A$44,_xlfn.SWITCH(WEEKDAY($D38, 2), 1, "Monday", 2, "Tuesday", 3, "Wednesday", 4, "Thursday", 5, "Friday", 6, "Saturday", 7, "Sunday"),0)</f>
        <v>Friday</v>
      </c>
      <c r="D38" s="30">
        <f t="shared" si="0"/>
        <v>6</v>
      </c>
      <c r="E38" s="72">
        <f t="shared" si="2"/>
        <v>45961</v>
      </c>
      <c r="F38" s="10" t="s">
        <v>18</v>
      </c>
      <c r="G38" s="12">
        <f>IF(AND(F38="N",NOT(OR($C38="Monday", $C38="Tuesday",$C38="Wednesday",$C38="Thursday",$C38="Friday"))),0,IFERROR(
    IF($F38="N", $W$9,
        IF(OR(
            AND(Masterdata!$B$4&lt;&gt;DATE(1900,1,0), Masterdata!$B$4&lt;$E38),
            AND(Masterdata!$B$3&lt;&gt;DATE(1900,1,0), Masterdata!$B$3&gt;$E38)
        ),
        IF($H38&gt;=TIME(0,0,0), "Type in next cell", 0),
        IF($H38&gt;=TIME(0,0,0), "Type in next cell",
            IF($H38&gt;=0, 0,
                IF(NOT(OR($C38="Monday", $C38="Tuesday",$C38="Wednesday",$C38="Thursday",$C38="Friday")), 0, 0)
            )
        )
    )),
"Type in next cell"))</f>
        <v>0.30833333333333335</v>
      </c>
      <c r="H38" s="11">
        <v>0</v>
      </c>
      <c r="I38" s="11">
        <v>0</v>
      </c>
      <c r="J38" s="11">
        <v>0</v>
      </c>
      <c r="K38" s="27" t="str">
        <f t="shared" si="3"/>
        <v>00:00</v>
      </c>
      <c r="L38" s="27" t="str">
        <f>IF(F38="N","0:00",IF(
OR(
AND(Masterdata!$B$4&lt;&gt;DATE(1900,1,0),Masterdata!$B$4&lt;$E38),
AND(Masterdata!$B$3&lt;&gt;DATE(1900,1,0),Masterdata!$B$3&gt;$E38)
),
"0:00",
IF(
$H38&gt;TIME(0,0,0),
IF(
NOT(OR($C38="Monday", $C38="Tuesday",$C38="Wednesday",$C38="Thursday",$C38="Friday")),
TEXT($H38,"[tt]:mm"),
IF($H38-$W$9&gt;=0,TEXT($H38-$W$9,"[tt]:mm"),"-"&amp;TEXT(ABS($H38-$W$9),"[tt]:mm"))
),
IF(
NOT(OR($C38="Monday", $C38="Tuesday",$C38="Wednesday",$C38="Thursday",$C38="Friday")),
IF($J38-$I38&gt;=0,TEXT($J38-$I38,"[tt]:mm"),"-"&amp;TEXT(ABS($J38-$I38),"[tt]:mm")),
IFERROR(
IF($G38-$W$9=0,
IF($G38-$W$9&gt;=0,TEXT($G38-$W$9,"[tt]:mm"),"-"&amp;TEXT(ABS($G38-$W$9),"[tt]:mm")),
IF($J38-$I38&gt;=0,TEXT($J38-$I38,"[tt]:mm"),"-"&amp;TEXT(ABS($J38-$I38),"[tt]:mm"))
),
IF(
$J38-$I38-$W$9&gt;=0,
TEXT($J38-$I38-$W$9,"[tt]:mm"),
"-"&amp;TEXT(ABS($J38-$I38-$W$9),"[tt]:mm")
)
)
)
)
))</f>
        <v>0:00</v>
      </c>
      <c r="M38" s="73" t="str">
        <f t="shared" si="12"/>
        <v>0</v>
      </c>
      <c r="N38" s="25" t="str">
        <f t="shared" si="5"/>
        <v>0:</v>
      </c>
      <c r="O38" s="56" t="str">
        <f t="shared" si="6"/>
        <v>0</v>
      </c>
      <c r="P38" s="57">
        <f t="shared" si="10"/>
        <v>0</v>
      </c>
      <c r="Q38" s="31">
        <f t="shared" si="13"/>
        <v>0</v>
      </c>
      <c r="R38" s="100"/>
      <c r="S38" s="10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5.75" x14ac:dyDescent="0.25">
      <c r="A39" s="30"/>
      <c r="B39" s="30"/>
      <c r="C39" s="30"/>
      <c r="D39" s="30"/>
      <c r="E39" s="30"/>
      <c r="F39" s="30"/>
      <c r="G39" s="30"/>
      <c r="H39" s="30"/>
      <c r="I39" s="30"/>
      <c r="J39" s="30"/>
      <c r="K39" s="30"/>
      <c r="L39" s="75"/>
      <c r="M39" s="30"/>
      <c r="N39" s="30"/>
      <c r="O39" s="30"/>
      <c r="P39" s="30"/>
      <c r="Q39" s="31">
        <f>SUM(Q8:Q38)</f>
        <v>0</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15.7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5.7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15.7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ht="15.7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ht="15.7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ht="15.7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ht="15.7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row>
    <row r="50" spans="1:44" ht="15.7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ht="15.7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7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1:44" ht="15.7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44" ht="15.7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ht="15.7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44" ht="15.7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ht="15.7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ht="15.7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ht="15.7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ht="15.7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ht="15.7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ht="15.7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15.7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row>
    <row r="64" spans="1:44" ht="15.7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row>
    <row r="65" spans="1:44" ht="15.7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15.7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5.7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row>
    <row r="68" spans="1:44" ht="15.7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ht="15.7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row>
    <row r="70" spans="1:44" ht="15.7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ht="15.7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15.7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ht="15.7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ht="15.7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ht="15.7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row>
    <row r="76" spans="1:44" ht="15.7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ht="15.75"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row>
  </sheetData>
  <sheetProtection algorithmName="SHA-512" hashValue="Z9esNaE4upBE52Zja/ETSbpj8sxs0C8ps3G7zVseLSUAYvAcFRbvX7ZMtwuwL6uiSTNy6dzxlNJdwg/Wj+/wQQ==" saltValue="0H8VfPFKWG83FWvfkJOaPQ==" spinCount="100000" sheet="1" objects="1" scenarios="1"/>
  <mergeCells count="37">
    <mergeCell ref="R7:S7"/>
    <mergeCell ref="R1:S1"/>
    <mergeCell ref="R2:S2"/>
    <mergeCell ref="R3:S3"/>
    <mergeCell ref="R4:S4"/>
    <mergeCell ref="R5:S5"/>
    <mergeCell ref="R19:S19"/>
    <mergeCell ref="R8:S8"/>
    <mergeCell ref="R9:S9"/>
    <mergeCell ref="R10:S10"/>
    <mergeCell ref="R11:S11"/>
    <mergeCell ref="R12:S12"/>
    <mergeCell ref="R13:S13"/>
    <mergeCell ref="R14:S14"/>
    <mergeCell ref="R15:S15"/>
    <mergeCell ref="R16:S16"/>
    <mergeCell ref="R17:S17"/>
    <mergeCell ref="R18:S18"/>
    <mergeCell ref="R31:S31"/>
    <mergeCell ref="R20:S20"/>
    <mergeCell ref="R21:S21"/>
    <mergeCell ref="R22:S22"/>
    <mergeCell ref="R23:S23"/>
    <mergeCell ref="R24:S24"/>
    <mergeCell ref="R25:S25"/>
    <mergeCell ref="R26:S26"/>
    <mergeCell ref="R27:S27"/>
    <mergeCell ref="R28:S28"/>
    <mergeCell ref="R29:S29"/>
    <mergeCell ref="R30:S30"/>
    <mergeCell ref="R38:S38"/>
    <mergeCell ref="R32:S32"/>
    <mergeCell ref="R33:S33"/>
    <mergeCell ref="R34:S34"/>
    <mergeCell ref="R35:S35"/>
    <mergeCell ref="R36:S36"/>
    <mergeCell ref="R37:S37"/>
  </mergeCells>
  <conditionalFormatting sqref="A8:G38">
    <cfRule type="expression" dxfId="11" priority="2">
      <formula>NOT(OR($C8="Monday", $C8="Tuesday",$C8="Wednesday",$C8="Thursday",$C8="Friday"))</formula>
    </cfRule>
  </conditionalFormatting>
  <conditionalFormatting sqref="G8:G38">
    <cfRule type="expression" dxfId="10" priority="4">
      <formula>AND($F8="N", (OR($C8="Monday", $C8="Tuesday",$C8="Wednesday",$C8="Thursday",$C8="Friday")))</formula>
    </cfRule>
  </conditionalFormatting>
  <conditionalFormatting sqref="H8:J38">
    <cfRule type="expression" dxfId="9" priority="1">
      <formula>OR($F8="N")</formula>
    </cfRule>
    <cfRule type="expression" dxfId="8" priority="3">
      <formula>$F8="R"</formula>
    </cfRule>
  </conditionalFormatting>
  <dataValidations count="1">
    <dataValidation type="list" allowBlank="1" showInputMessage="1" showErrorMessage="1" sqref="F8:F38" xr:uid="{FAB8BE45-0A7A-4AC3-95B4-E9F2813A6475}">
      <formula1>$L$3:$L$4</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A1AC5-FDDD-4083-9B19-C9D02D107B01}">
  <dimension ref="A1:AR77"/>
  <sheetViews>
    <sheetView zoomScale="70" zoomScaleNormal="70" workbookViewId="0">
      <selection activeCell="C1" sqref="C1"/>
    </sheetView>
  </sheetViews>
  <sheetFormatPr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6" width="7.5703125" hidden="1" customWidth="1" outlineLevel="1"/>
    <col min="17" max="17" width="2"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9.140625" collapsed="1"/>
  </cols>
  <sheetData>
    <row r="1" spans="1:44"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51"/>
      <c r="U1" s="51"/>
      <c r="V1" s="51"/>
      <c r="W1" s="30"/>
      <c r="X1" s="30"/>
      <c r="Y1" s="30"/>
      <c r="Z1" s="30"/>
      <c r="AA1" s="30"/>
      <c r="AB1" s="30"/>
      <c r="AC1" s="30"/>
      <c r="AD1" s="30"/>
      <c r="AE1" s="30"/>
      <c r="AF1" s="30"/>
      <c r="AG1" s="30"/>
      <c r="AH1" s="30"/>
      <c r="AI1" s="30"/>
      <c r="AJ1" s="30"/>
      <c r="AK1" s="30"/>
      <c r="AL1" s="30"/>
      <c r="AM1" s="30"/>
      <c r="AN1" s="30"/>
      <c r="AO1" s="30"/>
      <c r="AP1" s="30"/>
      <c r="AQ1" s="30"/>
      <c r="AR1" s="30"/>
    </row>
    <row r="2" spans="1:44" ht="16.5" x14ac:dyDescent="0.3">
      <c r="A2" s="44" t="s">
        <v>92</v>
      </c>
      <c r="B2" s="71" t="str">
        <f>Masterdata!$D$27</f>
        <v>00:00</v>
      </c>
      <c r="C2" s="30"/>
      <c r="D2" s="30"/>
      <c r="E2" s="30"/>
      <c r="F2" s="30"/>
      <c r="G2" s="30"/>
      <c r="H2" s="30"/>
      <c r="I2" s="30"/>
      <c r="J2" s="30"/>
      <c r="K2" s="30"/>
      <c r="L2" s="90"/>
      <c r="R2" s="106"/>
      <c r="S2" s="107"/>
      <c r="T2" s="51"/>
      <c r="U2" s="51"/>
      <c r="V2" s="51"/>
      <c r="W2" s="30"/>
      <c r="X2" s="30"/>
      <c r="Y2" s="30"/>
      <c r="Z2" s="30"/>
      <c r="AA2" s="30"/>
      <c r="AB2" s="30"/>
      <c r="AC2" s="30"/>
      <c r="AD2" s="30"/>
      <c r="AE2" s="30"/>
      <c r="AF2" s="30"/>
      <c r="AG2" s="30"/>
      <c r="AH2" s="30"/>
      <c r="AI2" s="30"/>
      <c r="AJ2" s="30"/>
      <c r="AK2" s="30"/>
      <c r="AL2" s="30"/>
      <c r="AM2" s="30"/>
      <c r="AN2" s="30"/>
      <c r="AO2" s="30"/>
      <c r="AP2" s="30"/>
      <c r="AQ2" s="30"/>
      <c r="AR2" s="30"/>
    </row>
    <row r="3" spans="1:44" ht="31.5" customHeight="1" x14ac:dyDescent="0.25">
      <c r="A3" s="47" t="s">
        <v>109</v>
      </c>
      <c r="B3" s="71" t="str">
        <f>IF(Q38&lt;0,"-"&amp;TEXT(ABS(Q38/24),"[tt]:mm"),TEXT(Q38/24,"[tt]:mm"))</f>
        <v>00:00</v>
      </c>
      <c r="C3" s="30"/>
      <c r="D3" s="30"/>
      <c r="E3" s="30"/>
      <c r="F3" s="30"/>
      <c r="G3" s="30"/>
      <c r="H3" s="30"/>
      <c r="I3" s="30"/>
      <c r="J3" s="30"/>
      <c r="K3" s="30"/>
      <c r="L3" s="91" t="s">
        <v>18</v>
      </c>
      <c r="R3" s="108" t="s">
        <v>130</v>
      </c>
      <c r="S3" s="109"/>
      <c r="T3" s="52"/>
      <c r="U3" s="52"/>
      <c r="V3" s="52"/>
      <c r="W3" s="30"/>
      <c r="X3" s="30"/>
      <c r="Y3" s="30"/>
      <c r="Z3" s="30"/>
      <c r="AA3" s="30"/>
      <c r="AB3" s="30"/>
      <c r="AC3" s="30"/>
      <c r="AD3" s="30"/>
      <c r="AE3" s="30"/>
      <c r="AF3" s="30"/>
      <c r="AG3" s="30"/>
      <c r="AH3" s="30"/>
      <c r="AI3" s="30"/>
      <c r="AJ3" s="30"/>
      <c r="AK3" s="30"/>
      <c r="AL3" s="30"/>
      <c r="AM3" s="30"/>
      <c r="AN3" s="30"/>
      <c r="AO3" s="30"/>
      <c r="AP3" s="30"/>
      <c r="AQ3" s="30"/>
      <c r="AR3" s="30"/>
    </row>
    <row r="4" spans="1:44" ht="54.95" customHeight="1" x14ac:dyDescent="0.25">
      <c r="A4" s="17" t="s">
        <v>110</v>
      </c>
      <c r="B4" s="48">
        <f>Masterdata!$B$5</f>
        <v>2025</v>
      </c>
      <c r="C4" s="30"/>
      <c r="D4" s="30"/>
      <c r="E4" s="30"/>
      <c r="F4" s="30"/>
      <c r="G4" s="30"/>
      <c r="H4" s="30"/>
      <c r="I4" s="30"/>
      <c r="J4" s="30"/>
      <c r="K4" s="30"/>
      <c r="L4" s="92" t="s">
        <v>19</v>
      </c>
      <c r="R4" s="110" t="s">
        <v>132</v>
      </c>
      <c r="S4" s="111"/>
      <c r="T4" s="53"/>
      <c r="U4" s="53"/>
      <c r="V4" s="53"/>
      <c r="W4" s="30"/>
      <c r="X4" s="30"/>
      <c r="Y4" s="30"/>
      <c r="Z4" s="30"/>
      <c r="AA4" s="30"/>
      <c r="AB4" s="30"/>
      <c r="AC4" s="30"/>
      <c r="AD4" s="30"/>
      <c r="AE4" s="30"/>
      <c r="AF4" s="30"/>
      <c r="AG4" s="30"/>
      <c r="AH4" s="30"/>
      <c r="AI4" s="30"/>
      <c r="AJ4" s="30"/>
      <c r="AK4" s="30"/>
      <c r="AL4" s="30"/>
      <c r="AM4" s="30"/>
      <c r="AN4" s="30"/>
      <c r="AO4" s="30"/>
      <c r="AP4" s="30"/>
      <c r="AQ4" s="30"/>
      <c r="AR4" s="30"/>
    </row>
    <row r="5" spans="1:44" ht="16.5" thickBot="1" x14ac:dyDescent="0.3">
      <c r="A5" s="13" t="s">
        <v>89</v>
      </c>
      <c r="B5" s="18" t="s">
        <v>116</v>
      </c>
      <c r="C5" s="30"/>
      <c r="D5" s="30"/>
      <c r="E5" s="30"/>
      <c r="F5" s="30"/>
      <c r="G5" s="30"/>
      <c r="H5" s="30"/>
      <c r="I5" s="30"/>
      <c r="J5" s="30"/>
      <c r="K5" s="30"/>
      <c r="L5" s="93" t="s">
        <v>118</v>
      </c>
      <c r="M5" s="94"/>
      <c r="N5" s="94"/>
      <c r="O5" s="94"/>
      <c r="P5" s="94"/>
      <c r="Q5" s="94"/>
      <c r="R5" s="112" t="s">
        <v>119</v>
      </c>
      <c r="S5" s="113"/>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6.5" thickBot="1"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Q7" s="30"/>
      <c r="R7" s="102" t="s">
        <v>121</v>
      </c>
      <c r="S7" s="103"/>
      <c r="T7" s="30"/>
      <c r="U7" s="30"/>
      <c r="V7" s="30" t="s">
        <v>27</v>
      </c>
      <c r="W7" s="30">
        <v>5</v>
      </c>
      <c r="X7" s="30"/>
      <c r="Y7" s="30"/>
      <c r="Z7" s="30"/>
      <c r="AA7" s="30"/>
      <c r="AB7" s="30"/>
      <c r="AC7" s="30"/>
      <c r="AD7" s="30"/>
      <c r="AE7" s="30"/>
      <c r="AF7" s="30"/>
      <c r="AG7" s="30"/>
      <c r="AH7" s="30"/>
      <c r="AI7" s="30"/>
      <c r="AJ7" s="30"/>
      <c r="AK7" s="30"/>
      <c r="AL7" s="30"/>
      <c r="AM7" s="30"/>
      <c r="AN7" s="30"/>
      <c r="AO7" s="30"/>
      <c r="AP7" s="30"/>
      <c r="AQ7" s="30"/>
      <c r="AR7" s="30"/>
    </row>
    <row r="8" spans="1:44" ht="15.75" x14ac:dyDescent="0.25">
      <c r="A8" s="7">
        <f>WEEKNUM($B8,21)</f>
        <v>44</v>
      </c>
      <c r="B8" s="8">
        <f>DATE(Masterdata!$B$5,11,1)</f>
        <v>45962</v>
      </c>
      <c r="C8" s="9" t="str" cm="1">
        <f t="array" ref="C8">_xlfn.XLOOKUP(E8,Masterdata!$B$31:$B$44,Masterdata!$A$31:$A$44,_xlfn.SWITCH(WEEKDAY($D8, 2), 1, "Monday", 2, "Tuesday", 3, "Wednesday", 4, "Thursday", 5, "Friday", 6, "Saturday", 7, "Sunday"),0)</f>
        <v>Saturday</v>
      </c>
      <c r="D8" s="30">
        <f t="shared" ref="D8:D37" si="0">WEEKDAY($B8, 2)+1</f>
        <v>7</v>
      </c>
      <c r="E8" s="72">
        <f>$B8</f>
        <v>45962</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73" t="str">
        <f>LEFT(L8,1)</f>
        <v>0</v>
      </c>
      <c r="N8" s="25" t="str">
        <f>IF($M8="-",LEFT($L8,3),LEFT($L8,2))</f>
        <v>0:</v>
      </c>
      <c r="O8" s="56" t="str">
        <f>IF($M8="-",MID($L8,5,2),MID($L8,4,2))</f>
        <v>0</v>
      </c>
      <c r="P8" s="57">
        <f>O8/60</f>
        <v>0</v>
      </c>
      <c r="Q8" s="31">
        <f>IF(M8="-",N8-P8,N8+P8)</f>
        <v>0</v>
      </c>
      <c r="R8" s="101"/>
      <c r="S8" s="101"/>
      <c r="T8" s="30"/>
      <c r="U8" s="30"/>
      <c r="V8" s="30" t="s">
        <v>28</v>
      </c>
      <c r="W8" s="74">
        <f>B1/W7</f>
        <v>7.4</v>
      </c>
      <c r="X8" s="30">
        <v>0</v>
      </c>
      <c r="Y8" s="75"/>
      <c r="Z8" s="30"/>
      <c r="AA8" s="30"/>
      <c r="AB8" s="30"/>
      <c r="AC8" s="30"/>
      <c r="AD8" s="30"/>
      <c r="AE8" s="30"/>
      <c r="AF8" s="30"/>
      <c r="AG8" s="30"/>
      <c r="AH8" s="30"/>
      <c r="AI8" s="30"/>
      <c r="AJ8" s="30"/>
      <c r="AK8" s="30"/>
      <c r="AL8" s="30"/>
      <c r="AM8" s="30"/>
      <c r="AN8" s="30"/>
      <c r="AO8" s="30"/>
      <c r="AP8" s="30"/>
      <c r="AQ8" s="30"/>
      <c r="AR8" s="30"/>
    </row>
    <row r="9" spans="1:44" ht="15.75" x14ac:dyDescent="0.25">
      <c r="A9" s="7">
        <f t="shared" ref="A9:A37" si="1">WEEKNUM($B9,21)</f>
        <v>44</v>
      </c>
      <c r="B9" s="8">
        <f>B8+1</f>
        <v>45963</v>
      </c>
      <c r="C9" s="9" t="str" cm="1">
        <f t="array" ref="C9">_xlfn.XLOOKUP(E9,Masterdata!$B$31:$B$44,Masterdata!$A$31:$A$44,_xlfn.SWITCH(WEEKDAY($D9, 2), 1, "Monday", 2, "Tuesday", 3, "Wednesday", 4, "Thursday", 5, "Friday", 6, "Saturday", 7, "Sunday"),0)</f>
        <v>Sunday</v>
      </c>
      <c r="D9" s="30">
        <f t="shared" si="0"/>
        <v>8</v>
      </c>
      <c r="E9" s="72">
        <f t="shared" ref="E9:E37" si="2">$B9</f>
        <v>45963</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v>
      </c>
      <c r="H9" s="11">
        <v>0</v>
      </c>
      <c r="I9" s="11">
        <v>0</v>
      </c>
      <c r="J9" s="11">
        <v>0</v>
      </c>
      <c r="K9" s="27" t="str">
        <f t="shared" ref="K9:K37"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73" t="str">
        <f t="shared" ref="M9:M19" si="4">LEFT(L9,1)</f>
        <v>0</v>
      </c>
      <c r="N9" s="25" t="str">
        <f t="shared" ref="N9:N37" si="5">IF($M9="-",LEFT($L9,3),LEFT($L9,2))</f>
        <v>0:</v>
      </c>
      <c r="O9" s="56" t="str">
        <f t="shared" ref="O9:O37" si="6">IF($M9="-",MID($L9,5,2),MID($L9,4,2))</f>
        <v>0</v>
      </c>
      <c r="P9" s="57">
        <f t="shared" ref="P9:P13" si="7">O9/60</f>
        <v>0</v>
      </c>
      <c r="Q9" s="31">
        <f t="shared" ref="Q9:Q13" si="8">IF(M9="-",N9-P9,N9+P9)</f>
        <v>0</v>
      </c>
      <c r="R9" s="101"/>
      <c r="S9" s="101"/>
      <c r="T9" s="30"/>
      <c r="U9" s="30"/>
      <c r="V9" s="30" t="s">
        <v>29</v>
      </c>
      <c r="W9" s="75">
        <f>W8/24</f>
        <v>0.30833333333333335</v>
      </c>
      <c r="X9" s="30"/>
      <c r="Y9" s="30"/>
      <c r="Z9" s="30"/>
      <c r="AA9" s="30"/>
      <c r="AB9" s="30"/>
      <c r="AC9" s="30"/>
      <c r="AD9" s="30"/>
      <c r="AE9" s="30"/>
      <c r="AF9" s="30"/>
      <c r="AG9" s="30"/>
      <c r="AH9" s="30"/>
      <c r="AI9" s="30"/>
      <c r="AJ9" s="30"/>
      <c r="AK9" s="30"/>
      <c r="AL9" s="30"/>
      <c r="AM9" s="30"/>
      <c r="AN9" s="30"/>
      <c r="AO9" s="30"/>
      <c r="AP9" s="30"/>
      <c r="AQ9" s="30"/>
      <c r="AR9" s="30"/>
    </row>
    <row r="10" spans="1:44" ht="15.75" x14ac:dyDescent="0.25">
      <c r="A10" s="7">
        <f t="shared" si="1"/>
        <v>45</v>
      </c>
      <c r="B10" s="8">
        <f t="shared" ref="B10:B37" si="9">B9+1</f>
        <v>45964</v>
      </c>
      <c r="C10" s="9" t="str" cm="1">
        <f t="array" ref="C10">_xlfn.XLOOKUP(E10,Masterdata!$B$31:$B$44,Masterdata!$A$31:$A$44,_xlfn.SWITCH(WEEKDAY($D10, 2), 1, "Monday", 2, "Tuesday", 3, "Wednesday", 4, "Thursday", 5, "Friday", 6, "Saturday", 7, "Sunday"),0)</f>
        <v>Monday</v>
      </c>
      <c r="D10" s="30">
        <f t="shared" si="0"/>
        <v>2</v>
      </c>
      <c r="E10" s="72">
        <f t="shared" si="2"/>
        <v>45964</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0.30833333333333335</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73" t="str">
        <f t="shared" si="4"/>
        <v>0</v>
      </c>
      <c r="N10" s="25" t="str">
        <f t="shared" si="5"/>
        <v>0:</v>
      </c>
      <c r="O10" s="56" t="str">
        <f t="shared" si="6"/>
        <v>0</v>
      </c>
      <c r="P10" s="57">
        <f t="shared" si="7"/>
        <v>0</v>
      </c>
      <c r="Q10" s="31">
        <f t="shared" si="8"/>
        <v>0</v>
      </c>
      <c r="R10" s="101"/>
      <c r="S10" s="101"/>
      <c r="T10" s="30" t="s">
        <v>18</v>
      </c>
      <c r="U10" s="30" t="s">
        <v>30</v>
      </c>
      <c r="V10" s="30" t="s">
        <v>31</v>
      </c>
      <c r="W10" s="31">
        <f>(B1/37)*160.33</f>
        <v>160.33000000000001</v>
      </c>
      <c r="X10" s="30"/>
      <c r="Y10" s="30"/>
      <c r="Z10" s="30"/>
      <c r="AA10" s="30"/>
      <c r="AB10" s="30"/>
      <c r="AC10" s="30"/>
      <c r="AD10" s="30"/>
      <c r="AE10" s="30"/>
      <c r="AF10" s="30"/>
      <c r="AG10" s="30"/>
      <c r="AH10" s="30"/>
      <c r="AI10" s="30"/>
      <c r="AJ10" s="30"/>
      <c r="AK10" s="30"/>
      <c r="AL10" s="30"/>
      <c r="AM10" s="30"/>
      <c r="AN10" s="30"/>
      <c r="AO10" s="30"/>
      <c r="AP10" s="30"/>
      <c r="AQ10" s="30"/>
      <c r="AR10" s="30"/>
    </row>
    <row r="11" spans="1:44" ht="15.75" x14ac:dyDescent="0.25">
      <c r="A11" s="7">
        <f t="shared" si="1"/>
        <v>45</v>
      </c>
      <c r="B11" s="8">
        <f t="shared" si="9"/>
        <v>45965</v>
      </c>
      <c r="C11" s="9" t="str" cm="1">
        <f t="array" ref="C11">_xlfn.XLOOKUP(E11,Masterdata!$B$31:$B$44,Masterdata!$A$31:$A$44,_xlfn.SWITCH(WEEKDAY($D11, 2), 1, "Monday", 2, "Tuesday", 3, "Wednesday", 4, "Thursday", 5, "Friday", 6, "Saturday", 7, "Sunday"),0)</f>
        <v>Tuesday</v>
      </c>
      <c r="D11" s="30">
        <f t="shared" si="0"/>
        <v>3</v>
      </c>
      <c r="E11" s="72">
        <f t="shared" si="2"/>
        <v>45965</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0.30833333333333335</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73" t="str">
        <f t="shared" si="4"/>
        <v>0</v>
      </c>
      <c r="N11" s="25" t="str">
        <f t="shared" si="5"/>
        <v>0:</v>
      </c>
      <c r="O11" s="56" t="str">
        <f t="shared" si="6"/>
        <v>0</v>
      </c>
      <c r="P11" s="57">
        <f t="shared" si="7"/>
        <v>0</v>
      </c>
      <c r="Q11" s="31">
        <f t="shared" si="8"/>
        <v>0</v>
      </c>
      <c r="R11" s="101"/>
      <c r="S11" s="10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75" x14ac:dyDescent="0.25">
      <c r="A12" s="7">
        <f t="shared" si="1"/>
        <v>45</v>
      </c>
      <c r="B12" s="8">
        <f t="shared" si="9"/>
        <v>45966</v>
      </c>
      <c r="C12" s="9" t="str" cm="1">
        <f t="array" ref="C12">_xlfn.XLOOKUP(E12,Masterdata!$B$31:$B$44,Masterdata!$A$31:$A$44,_xlfn.SWITCH(WEEKDAY($D12, 2), 1, "Monday", 2, "Tuesday", 3, "Wednesday", 4, "Thursday", 5, "Friday", 6, "Saturday", 7, "Sunday"),0)</f>
        <v>Wednesday</v>
      </c>
      <c r="D12" s="30">
        <f t="shared" si="0"/>
        <v>4</v>
      </c>
      <c r="E12" s="72">
        <f t="shared" si="2"/>
        <v>45966</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0.30833333333333335</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73" t="str">
        <f t="shared" si="4"/>
        <v>0</v>
      </c>
      <c r="N12" s="25" t="str">
        <f t="shared" si="5"/>
        <v>0:</v>
      </c>
      <c r="O12" s="56" t="str">
        <f t="shared" si="6"/>
        <v>0</v>
      </c>
      <c r="P12" s="57">
        <f t="shared" si="7"/>
        <v>0</v>
      </c>
      <c r="Q12" s="31">
        <f t="shared" si="8"/>
        <v>0</v>
      </c>
      <c r="R12" s="101"/>
      <c r="S12" s="101"/>
      <c r="T12" s="30"/>
      <c r="U12" s="30"/>
      <c r="V12" s="30"/>
      <c r="W12" s="31"/>
      <c r="X12" s="30"/>
      <c r="Y12" s="30"/>
      <c r="Z12" s="30"/>
      <c r="AA12" s="30"/>
      <c r="AB12" s="30"/>
      <c r="AC12" s="30"/>
      <c r="AD12" s="30"/>
      <c r="AE12" s="30"/>
      <c r="AF12" s="30"/>
      <c r="AG12" s="30"/>
      <c r="AH12" s="30"/>
      <c r="AI12" s="30"/>
      <c r="AJ12" s="30"/>
      <c r="AK12" s="30"/>
      <c r="AL12" s="30"/>
      <c r="AM12" s="30"/>
      <c r="AN12" s="30"/>
      <c r="AO12" s="30"/>
      <c r="AP12" s="30"/>
      <c r="AQ12" s="30"/>
      <c r="AR12" s="30"/>
    </row>
    <row r="13" spans="1:44" ht="15.75" x14ac:dyDescent="0.25">
      <c r="A13" s="7">
        <f t="shared" si="1"/>
        <v>45</v>
      </c>
      <c r="B13" s="8">
        <f t="shared" si="9"/>
        <v>45967</v>
      </c>
      <c r="C13" s="9" t="str" cm="1">
        <f t="array" ref="C13">_xlfn.XLOOKUP(E13,Masterdata!$B$31:$B$44,Masterdata!$A$31:$A$44,_xlfn.SWITCH(WEEKDAY($D13, 2), 1, "Monday", 2, "Tuesday", 3, "Wednesday", 4, "Thursday", 5, "Friday", 6, "Saturday", 7, "Sunday"),0)</f>
        <v>Thursday</v>
      </c>
      <c r="D13" s="30">
        <f t="shared" si="0"/>
        <v>5</v>
      </c>
      <c r="E13" s="72">
        <f t="shared" si="2"/>
        <v>45967</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0.30833333333333335</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73" t="str">
        <f t="shared" si="4"/>
        <v>0</v>
      </c>
      <c r="N13" s="25" t="str">
        <f t="shared" si="5"/>
        <v>0:</v>
      </c>
      <c r="O13" s="56" t="str">
        <f t="shared" si="6"/>
        <v>0</v>
      </c>
      <c r="P13" s="57">
        <f t="shared" si="7"/>
        <v>0</v>
      </c>
      <c r="Q13" s="31">
        <f t="shared" si="8"/>
        <v>0</v>
      </c>
      <c r="R13" s="100"/>
      <c r="S13" s="100"/>
      <c r="T13" s="30"/>
      <c r="U13" s="30"/>
      <c r="V13" s="30"/>
      <c r="W13" s="76"/>
      <c r="X13" s="30"/>
      <c r="Y13" s="30"/>
      <c r="Z13" s="30"/>
      <c r="AA13" s="30"/>
      <c r="AB13" s="30"/>
      <c r="AC13" s="30"/>
      <c r="AD13" s="30"/>
      <c r="AE13" s="30"/>
      <c r="AF13" s="30"/>
      <c r="AG13" s="30"/>
      <c r="AH13" s="30"/>
      <c r="AI13" s="30"/>
      <c r="AJ13" s="30"/>
      <c r="AK13" s="30"/>
      <c r="AL13" s="30"/>
      <c r="AM13" s="30"/>
      <c r="AN13" s="30"/>
      <c r="AO13" s="30"/>
      <c r="AP13" s="30"/>
      <c r="AQ13" s="30"/>
      <c r="AR13" s="30"/>
    </row>
    <row r="14" spans="1:44" ht="15.75" x14ac:dyDescent="0.25">
      <c r="A14" s="7">
        <f t="shared" si="1"/>
        <v>45</v>
      </c>
      <c r="B14" s="8">
        <f t="shared" si="9"/>
        <v>45968</v>
      </c>
      <c r="C14" s="9" t="str" cm="1">
        <f t="array" ref="C14">_xlfn.XLOOKUP(E14,Masterdata!$B$31:$B$44,Masterdata!$A$31:$A$44,_xlfn.SWITCH(WEEKDAY($D14, 2), 1, "Monday", 2, "Tuesday", 3, "Wednesday", 4, "Thursday", 5, "Friday", 6, "Saturday", 7, "Sunday"),0)</f>
        <v>Friday</v>
      </c>
      <c r="D14" s="30">
        <f t="shared" si="0"/>
        <v>6</v>
      </c>
      <c r="E14" s="72">
        <f t="shared" si="2"/>
        <v>45968</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0.30833333333333335</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73" t="str">
        <f t="shared" si="4"/>
        <v>0</v>
      </c>
      <c r="N14" s="25" t="str">
        <f t="shared" si="5"/>
        <v>0:</v>
      </c>
      <c r="O14" s="56" t="str">
        <f t="shared" si="6"/>
        <v>0</v>
      </c>
      <c r="P14" s="57">
        <f>O14/60</f>
        <v>0</v>
      </c>
      <c r="Q14" s="31">
        <f>IF(M14="-",N14-P14,N14+P14)</f>
        <v>0</v>
      </c>
      <c r="R14" s="100"/>
      <c r="S14" s="10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75" x14ac:dyDescent="0.25">
      <c r="A15" s="7">
        <f t="shared" si="1"/>
        <v>45</v>
      </c>
      <c r="B15" s="8">
        <f t="shared" si="9"/>
        <v>45969</v>
      </c>
      <c r="C15" s="9" t="str" cm="1">
        <f t="array" ref="C15">_xlfn.XLOOKUP(E15,Masterdata!$B$31:$B$44,Masterdata!$A$31:$A$44,_xlfn.SWITCH(WEEKDAY($D15, 2), 1, "Monday", 2, "Tuesday", 3, "Wednesday", 4, "Thursday", 5, "Friday", 6, "Saturday", 7, "Sunday"),0)</f>
        <v>Saturday</v>
      </c>
      <c r="D15" s="30">
        <f t="shared" si="0"/>
        <v>7</v>
      </c>
      <c r="E15" s="72">
        <f t="shared" si="2"/>
        <v>45969</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73" t="str">
        <f t="shared" si="4"/>
        <v>0</v>
      </c>
      <c r="N15" s="25" t="str">
        <f t="shared" si="5"/>
        <v>0:</v>
      </c>
      <c r="O15" s="56" t="str">
        <f t="shared" si="6"/>
        <v>0</v>
      </c>
      <c r="P15" s="57">
        <f t="shared" ref="P15:P37" si="10">O15/60</f>
        <v>0</v>
      </c>
      <c r="Q15" s="31">
        <f t="shared" ref="Q15:Q19" si="11">IF(M15="-",N15-P15,N15+P15)</f>
        <v>0</v>
      </c>
      <c r="R15" s="100"/>
      <c r="S15" s="100"/>
      <c r="T15" s="30" t="s">
        <v>32</v>
      </c>
      <c r="U15" s="30" t="s">
        <v>33</v>
      </c>
      <c r="V15" s="30" t="s">
        <v>34</v>
      </c>
      <c r="W15" s="31">
        <f>W10-W13</f>
        <v>160.33000000000001</v>
      </c>
      <c r="X15" s="30"/>
      <c r="Y15" s="30"/>
      <c r="Z15" s="30"/>
      <c r="AA15" s="30"/>
      <c r="AB15" s="30"/>
      <c r="AC15" s="30"/>
      <c r="AD15" s="30"/>
      <c r="AE15" s="30"/>
      <c r="AF15" s="30"/>
      <c r="AG15" s="30"/>
      <c r="AH15" s="30"/>
      <c r="AI15" s="30"/>
      <c r="AJ15" s="30"/>
      <c r="AK15" s="30"/>
      <c r="AL15" s="30"/>
      <c r="AM15" s="30"/>
      <c r="AN15" s="30"/>
      <c r="AO15" s="30"/>
      <c r="AP15" s="30"/>
      <c r="AQ15" s="30"/>
      <c r="AR15" s="30"/>
    </row>
    <row r="16" spans="1:44" ht="15.75" x14ac:dyDescent="0.25">
      <c r="A16" s="7">
        <f t="shared" si="1"/>
        <v>45</v>
      </c>
      <c r="B16" s="8">
        <f t="shared" si="9"/>
        <v>45970</v>
      </c>
      <c r="C16" s="9" t="str" cm="1">
        <f t="array" ref="C16">_xlfn.XLOOKUP(E16,Masterdata!$B$31:$B$44,Masterdata!$A$31:$A$44,_xlfn.SWITCH(WEEKDAY($D16, 2), 1, "Monday", 2, "Tuesday", 3, "Wednesday", 4, "Thursday", 5, "Friday", 6, "Saturday", 7, "Sunday"),0)</f>
        <v>Sunday</v>
      </c>
      <c r="D16" s="30">
        <f t="shared" si="0"/>
        <v>8</v>
      </c>
      <c r="E16" s="72">
        <f t="shared" si="2"/>
        <v>45970</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73" t="str">
        <f t="shared" si="4"/>
        <v>0</v>
      </c>
      <c r="N16" s="25" t="str">
        <f t="shared" si="5"/>
        <v>0:</v>
      </c>
      <c r="O16" s="56" t="str">
        <f t="shared" si="6"/>
        <v>0</v>
      </c>
      <c r="P16" s="57">
        <f t="shared" si="10"/>
        <v>0</v>
      </c>
      <c r="Q16" s="31">
        <f t="shared" si="11"/>
        <v>0</v>
      </c>
      <c r="R16" s="100"/>
      <c r="S16" s="100"/>
      <c r="T16" s="30" t="s">
        <v>35</v>
      </c>
      <c r="U16" s="30" t="s">
        <v>36</v>
      </c>
      <c r="V16" s="30" t="s">
        <v>37</v>
      </c>
      <c r="W16" s="31" t="e">
        <f>SUM(#REF!)</f>
        <v>#REF!</v>
      </c>
      <c r="X16" s="30"/>
      <c r="Y16" s="30"/>
      <c r="Z16" s="30"/>
      <c r="AA16" s="30"/>
      <c r="AB16" s="30"/>
      <c r="AC16" s="30"/>
      <c r="AD16" s="30"/>
      <c r="AE16" s="30"/>
      <c r="AF16" s="30"/>
      <c r="AG16" s="30"/>
      <c r="AH16" s="30"/>
      <c r="AI16" s="30"/>
      <c r="AJ16" s="30"/>
      <c r="AK16" s="30"/>
      <c r="AL16" s="30"/>
      <c r="AM16" s="30"/>
      <c r="AN16" s="30"/>
      <c r="AO16" s="30"/>
      <c r="AP16" s="30"/>
      <c r="AQ16" s="30"/>
      <c r="AR16" s="30"/>
    </row>
    <row r="17" spans="1:44" ht="15.75" x14ac:dyDescent="0.25">
      <c r="A17" s="7">
        <f t="shared" si="1"/>
        <v>46</v>
      </c>
      <c r="B17" s="8">
        <f t="shared" si="9"/>
        <v>45971</v>
      </c>
      <c r="C17" s="9" t="str" cm="1">
        <f t="array" ref="C17">_xlfn.XLOOKUP(E17,Masterdata!$B$31:$B$44,Masterdata!$A$31:$A$44,_xlfn.SWITCH(WEEKDAY($D17, 2), 1, "Monday", 2, "Tuesday", 3, "Wednesday", 4, "Thursday", 5, "Friday", 6, "Saturday", 7, "Sunday"),0)</f>
        <v>Monday</v>
      </c>
      <c r="D17" s="30">
        <f t="shared" si="0"/>
        <v>2</v>
      </c>
      <c r="E17" s="72">
        <f t="shared" si="2"/>
        <v>45971</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0.30833333333333335</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73" t="str">
        <f t="shared" si="4"/>
        <v>0</v>
      </c>
      <c r="N17" s="25" t="str">
        <f t="shared" si="5"/>
        <v>0:</v>
      </c>
      <c r="O17" s="56" t="str">
        <f t="shared" si="6"/>
        <v>0</v>
      </c>
      <c r="P17" s="57">
        <f t="shared" si="10"/>
        <v>0</v>
      </c>
      <c r="Q17" s="31">
        <f t="shared" si="11"/>
        <v>0</v>
      </c>
      <c r="R17" s="100"/>
      <c r="S17" s="100"/>
      <c r="T17" s="30" t="s">
        <v>19</v>
      </c>
      <c r="U17" s="30" t="s">
        <v>38</v>
      </c>
      <c r="V17" s="30" t="s">
        <v>39</v>
      </c>
      <c r="W17" s="31" t="e">
        <f>W15-W16</f>
        <v>#REF!</v>
      </c>
      <c r="X17" s="30"/>
      <c r="Y17" s="30"/>
      <c r="Z17" s="30"/>
      <c r="AA17" s="30"/>
      <c r="AB17" s="30"/>
      <c r="AC17" s="30"/>
      <c r="AD17" s="30"/>
      <c r="AE17" s="30"/>
      <c r="AF17" s="30"/>
      <c r="AG17" s="30"/>
      <c r="AH17" s="30"/>
      <c r="AI17" s="30"/>
      <c r="AJ17" s="30"/>
      <c r="AK17" s="30"/>
      <c r="AL17" s="30"/>
      <c r="AM17" s="30"/>
      <c r="AN17" s="30"/>
      <c r="AO17" s="30"/>
      <c r="AP17" s="30"/>
      <c r="AQ17" s="30"/>
      <c r="AR17" s="30"/>
    </row>
    <row r="18" spans="1:44" ht="15.75" x14ac:dyDescent="0.25">
      <c r="A18" s="7">
        <f t="shared" si="1"/>
        <v>46</v>
      </c>
      <c r="B18" s="8">
        <f t="shared" si="9"/>
        <v>45972</v>
      </c>
      <c r="C18" s="9" t="str" cm="1">
        <f t="array" ref="C18">_xlfn.XLOOKUP(E18,Masterdata!$B$31:$B$44,Masterdata!$A$31:$A$44,_xlfn.SWITCH(WEEKDAY($D18, 2), 1, "Monday", 2, "Tuesday", 3, "Wednesday", 4, "Thursday", 5, "Friday", 6, "Saturday", 7, "Sunday"),0)</f>
        <v>Tuesday</v>
      </c>
      <c r="D18" s="30">
        <f t="shared" si="0"/>
        <v>3</v>
      </c>
      <c r="E18" s="72">
        <f t="shared" si="2"/>
        <v>45972</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0.30833333333333335</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73" t="str">
        <f t="shared" si="4"/>
        <v>0</v>
      </c>
      <c r="N18" s="25" t="str">
        <f t="shared" si="5"/>
        <v>0:</v>
      </c>
      <c r="O18" s="56" t="str">
        <f t="shared" si="6"/>
        <v>0</v>
      </c>
      <c r="P18" s="57">
        <f t="shared" si="10"/>
        <v>0</v>
      </c>
      <c r="Q18" s="31">
        <f t="shared" si="11"/>
        <v>0</v>
      </c>
      <c r="R18" s="100"/>
      <c r="S18" s="100"/>
      <c r="T18" s="30"/>
      <c r="U18" s="30"/>
      <c r="V18" s="72"/>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15.75" x14ac:dyDescent="0.25">
      <c r="A19" s="7">
        <f t="shared" si="1"/>
        <v>46</v>
      </c>
      <c r="B19" s="8">
        <f t="shared" si="9"/>
        <v>45973</v>
      </c>
      <c r="C19" s="9" t="str" cm="1">
        <f t="array" ref="C19">_xlfn.XLOOKUP(E19,Masterdata!$B$31:$B$44,Masterdata!$A$31:$A$44,_xlfn.SWITCH(WEEKDAY($D19, 2), 1, "Monday", 2, "Tuesday", 3, "Wednesday", 4, "Thursday", 5, "Friday", 6, "Saturday", 7, "Sunday"),0)</f>
        <v>Wednesday</v>
      </c>
      <c r="D19" s="30">
        <f t="shared" si="0"/>
        <v>4</v>
      </c>
      <c r="E19" s="72">
        <f t="shared" si="2"/>
        <v>45973</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0.30833333333333335</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73" t="str">
        <f t="shared" si="4"/>
        <v>0</v>
      </c>
      <c r="N19" s="25" t="str">
        <f t="shared" si="5"/>
        <v>0:</v>
      </c>
      <c r="O19" s="56" t="str">
        <f t="shared" si="6"/>
        <v>0</v>
      </c>
      <c r="P19" s="57">
        <f t="shared" si="10"/>
        <v>0</v>
      </c>
      <c r="Q19" s="31">
        <f t="shared" si="11"/>
        <v>0</v>
      </c>
      <c r="R19" s="100"/>
      <c r="S19" s="10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75" x14ac:dyDescent="0.25">
      <c r="A20" s="7">
        <f t="shared" si="1"/>
        <v>46</v>
      </c>
      <c r="B20" s="8">
        <f t="shared" si="9"/>
        <v>45974</v>
      </c>
      <c r="C20" s="9" t="str" cm="1">
        <f t="array" ref="C20">_xlfn.XLOOKUP(E20,Masterdata!$B$31:$B$44,Masterdata!$A$31:$A$44,_xlfn.SWITCH(WEEKDAY($D20, 2), 1, "Monday", 2, "Tuesday", 3, "Wednesday", 4, "Thursday", 5, "Friday", 6, "Saturday", 7, "Sunday"),0)</f>
        <v>Thursday</v>
      </c>
      <c r="D20" s="30">
        <f t="shared" si="0"/>
        <v>5</v>
      </c>
      <c r="E20" s="72">
        <f t="shared" si="2"/>
        <v>45974</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0.30833333333333335</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73" t="str">
        <f>LEFT(L20,1)</f>
        <v>0</v>
      </c>
      <c r="N20" s="25" t="str">
        <f t="shared" si="5"/>
        <v>0:</v>
      </c>
      <c r="O20" s="56" t="str">
        <f t="shared" si="6"/>
        <v>0</v>
      </c>
      <c r="P20" s="57">
        <f t="shared" si="10"/>
        <v>0</v>
      </c>
      <c r="Q20" s="31">
        <f>IF(M20="-",N20-P20,N20+P20)</f>
        <v>0</v>
      </c>
      <c r="R20" s="100"/>
      <c r="S20" s="10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15.75" x14ac:dyDescent="0.25">
      <c r="A21" s="7">
        <f t="shared" si="1"/>
        <v>46</v>
      </c>
      <c r="B21" s="8">
        <f t="shared" si="9"/>
        <v>45975</v>
      </c>
      <c r="C21" s="9" t="str" cm="1">
        <f t="array" ref="C21">_xlfn.XLOOKUP(E21,Masterdata!$B$31:$B$44,Masterdata!$A$31:$A$44,_xlfn.SWITCH(WEEKDAY($D21, 2), 1, "Monday", 2, "Tuesday", 3, "Wednesday", 4, "Thursday", 5, "Friday", 6, "Saturday", 7, "Sunday"),0)</f>
        <v>Friday</v>
      </c>
      <c r="D21" s="30">
        <f t="shared" si="0"/>
        <v>6</v>
      </c>
      <c r="E21" s="72">
        <f t="shared" si="2"/>
        <v>45975</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0.30833333333333335</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73" t="str">
        <f t="shared" ref="M21:M37" si="12">LEFT(L21,1)</f>
        <v>0</v>
      </c>
      <c r="N21" s="25" t="str">
        <f t="shared" si="5"/>
        <v>0:</v>
      </c>
      <c r="O21" s="56" t="str">
        <f t="shared" si="6"/>
        <v>0</v>
      </c>
      <c r="P21" s="57">
        <f t="shared" si="10"/>
        <v>0</v>
      </c>
      <c r="Q21" s="31">
        <f t="shared" ref="Q21:Q37" si="13">IF(M21="-",N21-P21,N21+P21)</f>
        <v>0</v>
      </c>
      <c r="R21" s="100"/>
      <c r="S21" s="10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ht="15.75" x14ac:dyDescent="0.25">
      <c r="A22" s="7">
        <f t="shared" si="1"/>
        <v>46</v>
      </c>
      <c r="B22" s="8">
        <f t="shared" si="9"/>
        <v>45976</v>
      </c>
      <c r="C22" s="9" t="str" cm="1">
        <f t="array" ref="C22">_xlfn.XLOOKUP(E22,Masterdata!$B$31:$B$44,Masterdata!$A$31:$A$44,_xlfn.SWITCH(WEEKDAY($D22, 2), 1, "Monday", 2, "Tuesday", 3, "Wednesday", 4, "Thursday", 5, "Friday", 6, "Saturday", 7, "Sunday"),0)</f>
        <v>Saturday</v>
      </c>
      <c r="D22" s="30">
        <f t="shared" si="0"/>
        <v>7</v>
      </c>
      <c r="E22" s="72">
        <f t="shared" si="2"/>
        <v>45976</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73" t="str">
        <f t="shared" si="12"/>
        <v>0</v>
      </c>
      <c r="N22" s="25" t="str">
        <f t="shared" si="5"/>
        <v>0:</v>
      </c>
      <c r="O22" s="56" t="str">
        <f t="shared" si="6"/>
        <v>0</v>
      </c>
      <c r="P22" s="57">
        <f t="shared" si="10"/>
        <v>0</v>
      </c>
      <c r="Q22" s="31">
        <f t="shared" si="13"/>
        <v>0</v>
      </c>
      <c r="R22" s="100"/>
      <c r="S22" s="10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5.75" x14ac:dyDescent="0.25">
      <c r="A23" s="7">
        <f t="shared" si="1"/>
        <v>46</v>
      </c>
      <c r="B23" s="8">
        <f t="shared" si="9"/>
        <v>45977</v>
      </c>
      <c r="C23" s="9" t="str" cm="1">
        <f t="array" ref="C23">_xlfn.XLOOKUP(E23,Masterdata!$B$31:$B$44,Masterdata!$A$31:$A$44,_xlfn.SWITCH(WEEKDAY($D23, 2), 1, "Monday", 2, "Tuesday", 3, "Wednesday", 4, "Thursday", 5, "Friday", 6, "Saturday", 7, "Sunday"),0)</f>
        <v>Sunday</v>
      </c>
      <c r="D23" s="30">
        <f t="shared" si="0"/>
        <v>8</v>
      </c>
      <c r="E23" s="72">
        <f t="shared" si="2"/>
        <v>45977</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73" t="str">
        <f t="shared" si="12"/>
        <v>0</v>
      </c>
      <c r="N23" s="25" t="str">
        <f t="shared" si="5"/>
        <v>0:</v>
      </c>
      <c r="O23" s="56" t="str">
        <f t="shared" si="6"/>
        <v>0</v>
      </c>
      <c r="P23" s="57">
        <f t="shared" si="10"/>
        <v>0</v>
      </c>
      <c r="Q23" s="31">
        <f t="shared" si="13"/>
        <v>0</v>
      </c>
      <c r="R23" s="100"/>
      <c r="S23" s="10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15.75" x14ac:dyDescent="0.25">
      <c r="A24" s="7">
        <f t="shared" si="1"/>
        <v>47</v>
      </c>
      <c r="B24" s="8">
        <f t="shared" si="9"/>
        <v>45978</v>
      </c>
      <c r="C24" s="9" t="str" cm="1">
        <f t="array" ref="C24">_xlfn.XLOOKUP(E24,Masterdata!$B$31:$B$44,Masterdata!$A$31:$A$44,_xlfn.SWITCH(WEEKDAY($D24, 2), 1, "Monday", 2, "Tuesday", 3, "Wednesday", 4, "Thursday", 5, "Friday", 6, "Saturday", 7, "Sunday"),0)</f>
        <v>Monday</v>
      </c>
      <c r="D24" s="30">
        <f t="shared" si="0"/>
        <v>2</v>
      </c>
      <c r="E24" s="72">
        <f t="shared" si="2"/>
        <v>45978</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0.30833333333333335</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73" t="str">
        <f t="shared" si="12"/>
        <v>0</v>
      </c>
      <c r="N24" s="25" t="str">
        <f t="shared" si="5"/>
        <v>0:</v>
      </c>
      <c r="O24" s="56" t="str">
        <f t="shared" si="6"/>
        <v>0</v>
      </c>
      <c r="P24" s="57">
        <f t="shared" si="10"/>
        <v>0</v>
      </c>
      <c r="Q24" s="31">
        <f t="shared" si="13"/>
        <v>0</v>
      </c>
      <c r="R24" s="100"/>
      <c r="S24" s="10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5.75" x14ac:dyDescent="0.25">
      <c r="A25" s="7">
        <f t="shared" si="1"/>
        <v>47</v>
      </c>
      <c r="B25" s="8">
        <f t="shared" si="9"/>
        <v>45979</v>
      </c>
      <c r="C25" s="9" t="str" cm="1">
        <f t="array" ref="C25">_xlfn.XLOOKUP(E25,Masterdata!$B$31:$B$44,Masterdata!$A$31:$A$44,_xlfn.SWITCH(WEEKDAY($D25, 2), 1, "Monday", 2, "Tuesday", 3, "Wednesday", 4, "Thursday", 5, "Friday", 6, "Saturday", 7, "Sunday"),0)</f>
        <v>Tuesday</v>
      </c>
      <c r="D25" s="30">
        <f t="shared" si="0"/>
        <v>3</v>
      </c>
      <c r="E25" s="72">
        <f t="shared" si="2"/>
        <v>45979</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0.30833333333333335</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73" t="str">
        <f t="shared" si="12"/>
        <v>0</v>
      </c>
      <c r="N25" s="25" t="str">
        <f t="shared" si="5"/>
        <v>0:</v>
      </c>
      <c r="O25" s="56" t="str">
        <f t="shared" si="6"/>
        <v>0</v>
      </c>
      <c r="P25" s="57">
        <f t="shared" si="10"/>
        <v>0</v>
      </c>
      <c r="Q25" s="31">
        <f t="shared" si="13"/>
        <v>0</v>
      </c>
      <c r="R25" s="100"/>
      <c r="S25" s="10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ht="15.75" x14ac:dyDescent="0.25">
      <c r="A26" s="7">
        <f t="shared" si="1"/>
        <v>47</v>
      </c>
      <c r="B26" s="8">
        <f t="shared" si="9"/>
        <v>45980</v>
      </c>
      <c r="C26" s="9" t="str" cm="1">
        <f t="array" ref="C26">_xlfn.XLOOKUP(E26,Masterdata!$B$31:$B$44,Masterdata!$A$31:$A$44,_xlfn.SWITCH(WEEKDAY($D26, 2), 1, "Monday", 2, "Tuesday", 3, "Wednesday", 4, "Thursday", 5, "Friday", 6, "Saturday", 7, "Sunday"),0)</f>
        <v>Wednesday</v>
      </c>
      <c r="D26" s="30">
        <f t="shared" si="0"/>
        <v>4</v>
      </c>
      <c r="E26" s="72">
        <f t="shared" si="2"/>
        <v>45980</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0.30833333333333335</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73" t="str">
        <f t="shared" si="12"/>
        <v>0</v>
      </c>
      <c r="N26" s="25" t="str">
        <f t="shared" si="5"/>
        <v>0:</v>
      </c>
      <c r="O26" s="56" t="str">
        <f t="shared" si="6"/>
        <v>0</v>
      </c>
      <c r="P26" s="57">
        <f t="shared" si="10"/>
        <v>0</v>
      </c>
      <c r="Q26" s="31">
        <f t="shared" si="13"/>
        <v>0</v>
      </c>
      <c r="R26" s="100"/>
      <c r="S26" s="10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5.75" x14ac:dyDescent="0.25">
      <c r="A27" s="7">
        <f t="shared" si="1"/>
        <v>47</v>
      </c>
      <c r="B27" s="8">
        <f t="shared" si="9"/>
        <v>45981</v>
      </c>
      <c r="C27" s="9" t="str" cm="1">
        <f t="array" ref="C27">_xlfn.XLOOKUP(E27,Masterdata!$B$31:$B$44,Masterdata!$A$31:$A$44,_xlfn.SWITCH(WEEKDAY($D27, 2), 1, "Monday", 2, "Tuesday", 3, "Wednesday", 4, "Thursday", 5, "Friday", 6, "Saturday", 7, "Sunday"),0)</f>
        <v>Thursday</v>
      </c>
      <c r="D27" s="30">
        <f t="shared" si="0"/>
        <v>5</v>
      </c>
      <c r="E27" s="72">
        <f t="shared" si="2"/>
        <v>45981</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0.30833333333333335</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73" t="str">
        <f t="shared" si="12"/>
        <v>0</v>
      </c>
      <c r="N27" s="25" t="str">
        <f t="shared" si="5"/>
        <v>0:</v>
      </c>
      <c r="O27" s="56" t="str">
        <f t="shared" si="6"/>
        <v>0</v>
      </c>
      <c r="P27" s="57">
        <f t="shared" si="10"/>
        <v>0</v>
      </c>
      <c r="Q27" s="31">
        <f t="shared" si="13"/>
        <v>0</v>
      </c>
      <c r="R27" s="100"/>
      <c r="S27" s="10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ht="15.75" x14ac:dyDescent="0.25">
      <c r="A28" s="7">
        <f t="shared" si="1"/>
        <v>47</v>
      </c>
      <c r="B28" s="8">
        <f t="shared" si="9"/>
        <v>45982</v>
      </c>
      <c r="C28" s="9" t="str" cm="1">
        <f t="array" ref="C28">_xlfn.XLOOKUP(E28,Masterdata!$B$31:$B$44,Masterdata!$A$31:$A$44,_xlfn.SWITCH(WEEKDAY($D28, 2), 1, "Monday", 2, "Tuesday", 3, "Wednesday", 4, "Thursday", 5, "Friday", 6, "Saturday", 7, "Sunday"),0)</f>
        <v>Friday</v>
      </c>
      <c r="D28" s="30">
        <f t="shared" si="0"/>
        <v>6</v>
      </c>
      <c r="E28" s="72">
        <f t="shared" si="2"/>
        <v>45982</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0.30833333333333335</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73" t="str">
        <f t="shared" si="12"/>
        <v>0</v>
      </c>
      <c r="N28" s="25" t="str">
        <f t="shared" si="5"/>
        <v>0:</v>
      </c>
      <c r="O28" s="56" t="str">
        <f t="shared" si="6"/>
        <v>0</v>
      </c>
      <c r="P28" s="57">
        <f t="shared" si="10"/>
        <v>0</v>
      </c>
      <c r="Q28" s="31">
        <f t="shared" si="13"/>
        <v>0</v>
      </c>
      <c r="R28" s="100"/>
      <c r="S28" s="10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5.75" x14ac:dyDescent="0.25">
      <c r="A29" s="7">
        <f t="shared" si="1"/>
        <v>47</v>
      </c>
      <c r="B29" s="8">
        <f t="shared" si="9"/>
        <v>45983</v>
      </c>
      <c r="C29" s="9" t="str" cm="1">
        <f t="array" ref="C29">_xlfn.XLOOKUP(E29,Masterdata!$B$31:$B$44,Masterdata!$A$31:$A$44,_xlfn.SWITCH(WEEKDAY($D29, 2), 1, "Monday", 2, "Tuesday", 3, "Wednesday", 4, "Thursday", 5, "Friday", 6, "Saturday", 7, "Sunday"),0)</f>
        <v>Saturday</v>
      </c>
      <c r="D29" s="30">
        <f t="shared" si="0"/>
        <v>7</v>
      </c>
      <c r="E29" s="72">
        <f t="shared" si="2"/>
        <v>45983</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73" t="str">
        <f t="shared" si="12"/>
        <v>0</v>
      </c>
      <c r="N29" s="25" t="str">
        <f t="shared" si="5"/>
        <v>0:</v>
      </c>
      <c r="O29" s="56" t="str">
        <f t="shared" si="6"/>
        <v>0</v>
      </c>
      <c r="P29" s="57">
        <f t="shared" si="10"/>
        <v>0</v>
      </c>
      <c r="Q29" s="31">
        <f t="shared" si="13"/>
        <v>0</v>
      </c>
      <c r="R29" s="100"/>
      <c r="S29" s="10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ht="15.75" x14ac:dyDescent="0.25">
      <c r="A30" s="7">
        <f t="shared" si="1"/>
        <v>47</v>
      </c>
      <c r="B30" s="8">
        <f t="shared" si="9"/>
        <v>45984</v>
      </c>
      <c r="C30" s="9" t="str" cm="1">
        <f t="array" ref="C30">_xlfn.XLOOKUP(E30,Masterdata!$B$31:$B$44,Masterdata!$A$31:$A$44,_xlfn.SWITCH(WEEKDAY($D30, 2), 1, "Monday", 2, "Tuesday", 3, "Wednesday", 4, "Thursday", 5, "Friday", 6, "Saturday", 7, "Sunday"),0)</f>
        <v>Sunday</v>
      </c>
      <c r="D30" s="30">
        <f t="shared" si="0"/>
        <v>8</v>
      </c>
      <c r="E30" s="72">
        <f t="shared" si="2"/>
        <v>45984</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73" t="str">
        <f t="shared" si="12"/>
        <v>0</v>
      </c>
      <c r="N30" s="25" t="str">
        <f t="shared" si="5"/>
        <v>0:</v>
      </c>
      <c r="O30" s="56" t="str">
        <f t="shared" si="6"/>
        <v>0</v>
      </c>
      <c r="P30" s="57">
        <f t="shared" si="10"/>
        <v>0</v>
      </c>
      <c r="Q30" s="31">
        <f t="shared" si="13"/>
        <v>0</v>
      </c>
      <c r="R30" s="100"/>
      <c r="S30" s="10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5.75" x14ac:dyDescent="0.25">
      <c r="A31" s="7">
        <f t="shared" si="1"/>
        <v>48</v>
      </c>
      <c r="B31" s="8">
        <f t="shared" si="9"/>
        <v>45985</v>
      </c>
      <c r="C31" s="9" t="str" cm="1">
        <f t="array" ref="C31">_xlfn.XLOOKUP(E31,Masterdata!$B$31:$B$44,Masterdata!$A$31:$A$44,_xlfn.SWITCH(WEEKDAY($D31, 2), 1, "Monday", 2, "Tuesday", 3, "Wednesday", 4, "Thursday", 5, "Friday", 6, "Saturday", 7, "Sunday"),0)</f>
        <v>Monday</v>
      </c>
      <c r="D31" s="30">
        <f t="shared" si="0"/>
        <v>2</v>
      </c>
      <c r="E31" s="72">
        <f t="shared" si="2"/>
        <v>45985</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0.30833333333333335</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73" t="str">
        <f t="shared" si="12"/>
        <v>0</v>
      </c>
      <c r="N31" s="25" t="str">
        <f t="shared" si="5"/>
        <v>0:</v>
      </c>
      <c r="O31" s="56" t="str">
        <f t="shared" si="6"/>
        <v>0</v>
      </c>
      <c r="P31" s="57">
        <f t="shared" si="10"/>
        <v>0</v>
      </c>
      <c r="Q31" s="31">
        <f t="shared" si="13"/>
        <v>0</v>
      </c>
      <c r="R31" s="100"/>
      <c r="S31" s="10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15.75" x14ac:dyDescent="0.25">
      <c r="A32" s="7">
        <f t="shared" si="1"/>
        <v>48</v>
      </c>
      <c r="B32" s="8">
        <f t="shared" si="9"/>
        <v>45986</v>
      </c>
      <c r="C32" s="9" t="str" cm="1">
        <f t="array" ref="C32">_xlfn.XLOOKUP(E32,Masterdata!$B$31:$B$44,Masterdata!$A$31:$A$44,_xlfn.SWITCH(WEEKDAY($D32, 2), 1, "Monday", 2, "Tuesday", 3, "Wednesday", 4, "Thursday", 5, "Friday", 6, "Saturday", 7, "Sunday"),0)</f>
        <v>Tuesday</v>
      </c>
      <c r="D32" s="30">
        <f t="shared" si="0"/>
        <v>3</v>
      </c>
      <c r="E32" s="72">
        <f t="shared" si="2"/>
        <v>45986</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0.30833333333333335</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73" t="str">
        <f t="shared" si="12"/>
        <v>0</v>
      </c>
      <c r="N32" s="25" t="str">
        <f t="shared" si="5"/>
        <v>0:</v>
      </c>
      <c r="O32" s="56" t="str">
        <f t="shared" si="6"/>
        <v>0</v>
      </c>
      <c r="P32" s="57">
        <f t="shared" si="10"/>
        <v>0</v>
      </c>
      <c r="Q32" s="31">
        <f t="shared" si="13"/>
        <v>0</v>
      </c>
      <c r="R32" s="100"/>
      <c r="S32" s="10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5.75" x14ac:dyDescent="0.25">
      <c r="A33" s="7">
        <f t="shared" si="1"/>
        <v>48</v>
      </c>
      <c r="B33" s="8">
        <f t="shared" si="9"/>
        <v>45987</v>
      </c>
      <c r="C33" s="9" t="str" cm="1">
        <f t="array" ref="C33">_xlfn.XLOOKUP(E33,Masterdata!$B$31:$B$44,Masterdata!$A$31:$A$44,_xlfn.SWITCH(WEEKDAY($D33, 2), 1, "Monday", 2, "Tuesday", 3, "Wednesday", 4, "Thursday", 5, "Friday", 6, "Saturday", 7, "Sunday"),0)</f>
        <v>Wednesday</v>
      </c>
      <c r="D33" s="30">
        <f t="shared" si="0"/>
        <v>4</v>
      </c>
      <c r="E33" s="72">
        <f t="shared" si="2"/>
        <v>45987</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0.30833333333333335</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73" t="str">
        <f t="shared" si="12"/>
        <v>0</v>
      </c>
      <c r="N33" s="25" t="str">
        <f t="shared" si="5"/>
        <v>0:</v>
      </c>
      <c r="O33" s="56" t="str">
        <f t="shared" si="6"/>
        <v>0</v>
      </c>
      <c r="P33" s="57">
        <f t="shared" si="10"/>
        <v>0</v>
      </c>
      <c r="Q33" s="31">
        <f t="shared" si="13"/>
        <v>0</v>
      </c>
      <c r="R33" s="100"/>
      <c r="S33" s="10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15.75" x14ac:dyDescent="0.25">
      <c r="A34" s="7">
        <f t="shared" si="1"/>
        <v>48</v>
      </c>
      <c r="B34" s="8">
        <f t="shared" si="9"/>
        <v>45988</v>
      </c>
      <c r="C34" s="9" t="str" cm="1">
        <f t="array" ref="C34">_xlfn.XLOOKUP(E34,Masterdata!$B$31:$B$44,Masterdata!$A$31:$A$44,_xlfn.SWITCH(WEEKDAY($D34, 2), 1, "Monday", 2, "Tuesday", 3, "Wednesday", 4, "Thursday", 5, "Friday", 6, "Saturday", 7, "Sunday"),0)</f>
        <v>Thursday</v>
      </c>
      <c r="D34" s="30">
        <f t="shared" si="0"/>
        <v>5</v>
      </c>
      <c r="E34" s="72">
        <f t="shared" si="2"/>
        <v>45988</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0.30833333333333335</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73" t="str">
        <f t="shared" si="12"/>
        <v>0</v>
      </c>
      <c r="N34" s="25" t="str">
        <f t="shared" si="5"/>
        <v>0:</v>
      </c>
      <c r="O34" s="56" t="str">
        <f t="shared" si="6"/>
        <v>0</v>
      </c>
      <c r="P34" s="57">
        <f t="shared" si="10"/>
        <v>0</v>
      </c>
      <c r="Q34" s="31">
        <f t="shared" si="13"/>
        <v>0</v>
      </c>
      <c r="R34" s="100"/>
      <c r="S34" s="10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5.75" x14ac:dyDescent="0.25">
      <c r="A35" s="7">
        <f t="shared" si="1"/>
        <v>48</v>
      </c>
      <c r="B35" s="8">
        <f t="shared" si="9"/>
        <v>45989</v>
      </c>
      <c r="C35" s="9" t="str" cm="1">
        <f t="array" ref="C35">_xlfn.XLOOKUP(E35,Masterdata!$B$31:$B$44,Masterdata!$A$31:$A$44,_xlfn.SWITCH(WEEKDAY($D35, 2), 1, "Monday", 2, "Tuesday", 3, "Wednesday", 4, "Thursday", 5, "Friday", 6, "Saturday", 7, "Sunday"),0)</f>
        <v>Friday</v>
      </c>
      <c r="D35" s="30">
        <f t="shared" si="0"/>
        <v>6</v>
      </c>
      <c r="E35" s="72">
        <f t="shared" si="2"/>
        <v>45989</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0.30833333333333335</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73" t="str">
        <f t="shared" si="12"/>
        <v>0</v>
      </c>
      <c r="N35" s="25" t="str">
        <f t="shared" si="5"/>
        <v>0:</v>
      </c>
      <c r="O35" s="56" t="str">
        <f t="shared" si="6"/>
        <v>0</v>
      </c>
      <c r="P35" s="57">
        <f t="shared" si="10"/>
        <v>0</v>
      </c>
      <c r="Q35" s="31">
        <f t="shared" si="13"/>
        <v>0</v>
      </c>
      <c r="R35" s="100"/>
      <c r="S35" s="10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15.75" x14ac:dyDescent="0.25">
      <c r="A36" s="7">
        <f t="shared" si="1"/>
        <v>48</v>
      </c>
      <c r="B36" s="8">
        <f t="shared" si="9"/>
        <v>45990</v>
      </c>
      <c r="C36" s="9" t="str" cm="1">
        <f t="array" ref="C36">_xlfn.XLOOKUP(E36,Masterdata!$B$31:$B$44,Masterdata!$A$31:$A$44,_xlfn.SWITCH(WEEKDAY($D36, 2), 1, "Monday", 2, "Tuesday", 3, "Wednesday", 4, "Thursday", 5, "Friday", 6, "Saturday", 7, "Sunday"),0)</f>
        <v>Saturday</v>
      </c>
      <c r="D36" s="30">
        <f t="shared" si="0"/>
        <v>7</v>
      </c>
      <c r="E36" s="72">
        <f t="shared" si="2"/>
        <v>45990</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73" t="str">
        <f t="shared" si="12"/>
        <v>0</v>
      </c>
      <c r="N36" s="25" t="str">
        <f t="shared" si="5"/>
        <v>0:</v>
      </c>
      <c r="O36" s="56" t="str">
        <f t="shared" si="6"/>
        <v>0</v>
      </c>
      <c r="P36" s="57">
        <f t="shared" si="10"/>
        <v>0</v>
      </c>
      <c r="Q36" s="31">
        <f t="shared" si="13"/>
        <v>0</v>
      </c>
      <c r="R36" s="100"/>
      <c r="S36" s="10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ht="15.75" x14ac:dyDescent="0.25">
      <c r="A37" s="7">
        <f t="shared" si="1"/>
        <v>48</v>
      </c>
      <c r="B37" s="8">
        <f t="shared" si="9"/>
        <v>45991</v>
      </c>
      <c r="C37" s="9" t="str" cm="1">
        <f t="array" ref="C37">_xlfn.XLOOKUP(E37,Masterdata!$B$31:$B$44,Masterdata!$A$31:$A$44,_xlfn.SWITCH(WEEKDAY($D37, 2), 1, "Monday", 2, "Tuesday", 3, "Wednesday", 4, "Thursday", 5, "Friday", 6, "Saturday", 7, "Sunday"),0)</f>
        <v>Sunday</v>
      </c>
      <c r="D37" s="30">
        <f t="shared" si="0"/>
        <v>8</v>
      </c>
      <c r="E37" s="72">
        <f t="shared" si="2"/>
        <v>45991</v>
      </c>
      <c r="F37" s="10" t="s">
        <v>18</v>
      </c>
      <c r="G37" s="12">
        <f>IF(AND(F37="N",NOT(OR($C37="Monday", $C37="Tuesday",$C37="Wednesday",$C37="Thursday",$C37="Friday"))),0,IFERROR(
    IF($F37="N", $W$9,
        IF(OR(
            AND(Masterdata!$B$4&lt;&gt;DATE(1900,1,0), Masterdata!$B$4&lt;$E37),
            AND(Masterdata!$B$3&lt;&gt;DATE(1900,1,0), Masterdata!$B$3&gt;$E37)
        ),
        IF($H37&gt;=TIME(0,0,0), "Type in next cell", 0),
        IF($H37&gt;=TIME(0,0,0), "Type in next cell",
            IF($H37&gt;=0, 0,
                IF(NOT(OR($C37="Monday", $C37="Tuesday",$C37="Wednesday",$C37="Thursday",$C37="Friday")), 0, 0)
            )
        )
    )),
"Type in next cell"))</f>
        <v>0</v>
      </c>
      <c r="H37" s="11">
        <v>0</v>
      </c>
      <c r="I37" s="11">
        <v>0</v>
      </c>
      <c r="J37" s="11">
        <v>0</v>
      </c>
      <c r="K37" s="27" t="str">
        <f t="shared" si="3"/>
        <v>00:00</v>
      </c>
      <c r="L37" s="27" t="str">
        <f>IF(F37="N","0:00",IF(
OR(
AND(Masterdata!$B$4&lt;&gt;DATE(1900,1,0),Masterdata!$B$4&lt;$E37),
AND(Masterdata!$B$3&lt;&gt;DATE(1900,1,0),Masterdata!$B$3&gt;$E37)
),
"0:00",
IF(
$H37&gt;TIME(0,0,0),
IF(
NOT(OR($C37="Monday", $C37="Tuesday",$C37="Wednesday",$C37="Thursday",$C37="Friday")),
TEXT($H37,"[tt]:mm"),
IF($H37-$W$9&gt;=0,TEXT($H37-$W$9,"[tt]:mm"),"-"&amp;TEXT(ABS($H37-$W$9),"[tt]:mm"))
),
IF(
NOT(OR($C37="Monday", $C37="Tuesday",$C37="Wednesday",$C37="Thursday",$C37="Friday")),
IF($J37-$I37&gt;=0,TEXT($J37-$I37,"[tt]:mm"),"-"&amp;TEXT(ABS($J37-$I37),"[tt]:mm")),
IFERROR(
IF($G37-$W$9=0,
IF($G37-$W$9&gt;=0,TEXT($G37-$W$9,"[tt]:mm"),"-"&amp;TEXT(ABS($G37-$W$9),"[tt]:mm")),
IF($J37-$I37&gt;=0,TEXT($J37-$I37,"[tt]:mm"),"-"&amp;TEXT(ABS($J37-$I37),"[tt]:mm"))
),
IF(
$J37-$I37-$W$9&gt;=0,
TEXT($J37-$I37-$W$9,"[tt]:mm"),
"-"&amp;TEXT(ABS($J37-$I37-$W$9),"[tt]:mm")
)
)
)
)
))</f>
        <v>0:00</v>
      </c>
      <c r="M37" s="73" t="str">
        <f t="shared" si="12"/>
        <v>0</v>
      </c>
      <c r="N37" s="25" t="str">
        <f t="shared" si="5"/>
        <v>0:</v>
      </c>
      <c r="O37" s="56" t="str">
        <f t="shared" si="6"/>
        <v>0</v>
      </c>
      <c r="P37" s="57">
        <f t="shared" si="10"/>
        <v>0</v>
      </c>
      <c r="Q37" s="31">
        <f t="shared" si="13"/>
        <v>0</v>
      </c>
      <c r="R37" s="100"/>
      <c r="S37" s="10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15.75" x14ac:dyDescent="0.25">
      <c r="A38" s="30"/>
      <c r="B38" s="30"/>
      <c r="C38" s="30"/>
      <c r="D38" s="30"/>
      <c r="E38" s="30"/>
      <c r="F38" s="30"/>
      <c r="G38" s="30"/>
      <c r="H38" s="30"/>
      <c r="I38" s="30"/>
      <c r="J38" s="30"/>
      <c r="K38" s="30"/>
      <c r="L38" s="75"/>
      <c r="M38" s="30"/>
      <c r="N38" s="30"/>
      <c r="O38" s="30"/>
      <c r="P38" s="30"/>
      <c r="Q38" s="31">
        <f>SUM(Q8:Q37)</f>
        <v>0</v>
      </c>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5.75" x14ac:dyDescent="0.2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15.7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5.7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15.7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ht="15.7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ht="15.7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ht="15.7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ht="15.7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row>
    <row r="50" spans="1:44" ht="15.7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ht="15.7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7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1:44" ht="15.7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44" ht="15.7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ht="15.7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44" ht="15.7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ht="15.7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ht="15.7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ht="15.7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ht="15.7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ht="15.7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ht="15.7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15.7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row>
    <row r="64" spans="1:44" ht="15.7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row>
    <row r="65" spans="1:44" ht="15.7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15.7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5.7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row>
    <row r="68" spans="1:44" ht="15.7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ht="15.7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row>
    <row r="70" spans="1:44" ht="15.7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ht="15.7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15.7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ht="15.7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ht="15.7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ht="15.7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row>
    <row r="76" spans="1:44" ht="15.7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ht="15.75" x14ac:dyDescent="0.25">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row>
  </sheetData>
  <sheetProtection algorithmName="SHA-512" hashValue="FVxeMfGVnH0weRWsHgg75GtLye0Am3bielq/SGRcHq5GwIO3kqgL1hMWNUe9Az7cHj7rNrVZR4ubI2VMna1DaQ==" saltValue="0gjX6j4BHrXVK9NvvkQAlA==" spinCount="100000" sheet="1" objects="1" scenarios="1"/>
  <mergeCells count="36">
    <mergeCell ref="R13:S13"/>
    <mergeCell ref="R1:S1"/>
    <mergeCell ref="R2:S2"/>
    <mergeCell ref="R3:S3"/>
    <mergeCell ref="R4:S4"/>
    <mergeCell ref="R5:S5"/>
    <mergeCell ref="R7:S7"/>
    <mergeCell ref="R8:S8"/>
    <mergeCell ref="R9:S9"/>
    <mergeCell ref="R10:S10"/>
    <mergeCell ref="R11:S11"/>
    <mergeCell ref="R12:S12"/>
    <mergeCell ref="R25:S25"/>
    <mergeCell ref="R14:S14"/>
    <mergeCell ref="R15:S15"/>
    <mergeCell ref="R16:S16"/>
    <mergeCell ref="R17:S17"/>
    <mergeCell ref="R18:S18"/>
    <mergeCell ref="R19:S19"/>
    <mergeCell ref="R20:S20"/>
    <mergeCell ref="R21:S21"/>
    <mergeCell ref="R22:S22"/>
    <mergeCell ref="R23:S23"/>
    <mergeCell ref="R24:S24"/>
    <mergeCell ref="R37:S37"/>
    <mergeCell ref="R26:S26"/>
    <mergeCell ref="R27:S27"/>
    <mergeCell ref="R28:S28"/>
    <mergeCell ref="R29:S29"/>
    <mergeCell ref="R30:S30"/>
    <mergeCell ref="R31:S31"/>
    <mergeCell ref="R32:S32"/>
    <mergeCell ref="R33:S33"/>
    <mergeCell ref="R34:S34"/>
    <mergeCell ref="R35:S35"/>
    <mergeCell ref="R36:S36"/>
  </mergeCells>
  <conditionalFormatting sqref="A8:G37">
    <cfRule type="expression" dxfId="7" priority="2">
      <formula>NOT(OR($C8="Monday", $C8="Tuesday",$C8="Wednesday",$C8="Thursday",$C8="Friday"))</formula>
    </cfRule>
  </conditionalFormatting>
  <conditionalFormatting sqref="G8:G37">
    <cfRule type="expression" dxfId="6" priority="4">
      <formula>AND($F8="N", (OR($C8="Monday", $C8="Tuesday",$C8="Wednesday",$C8="Thursday",$C8="Friday")))</formula>
    </cfRule>
  </conditionalFormatting>
  <conditionalFormatting sqref="H8:J37">
    <cfRule type="expression" dxfId="5" priority="1">
      <formula>OR($F8="N")</formula>
    </cfRule>
    <cfRule type="expression" dxfId="4" priority="3">
      <formula>$F8="R"</formula>
    </cfRule>
  </conditionalFormatting>
  <dataValidations count="1">
    <dataValidation type="list" allowBlank="1" showInputMessage="1" showErrorMessage="1" sqref="F8:F37" xr:uid="{CC70116D-670F-49EC-8BF9-1497107BCC96}">
      <formula1>$L$3:$L$4</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8E0F-B7C6-466C-9676-46CA320762B5}">
  <dimension ref="A1:AR77"/>
  <sheetViews>
    <sheetView zoomScale="70" zoomScaleNormal="70" workbookViewId="0">
      <selection activeCell="C1" sqref="C1"/>
    </sheetView>
  </sheetViews>
  <sheetFormatPr defaultRowHeight="15" outlineLevelCol="1" x14ac:dyDescent="0.25"/>
  <cols>
    <col min="1" max="1" width="21.7109375" customWidth="1"/>
    <col min="2" max="2" width="14.140625" customWidth="1"/>
    <col min="3" max="3" width="22.7109375" customWidth="1"/>
    <col min="4" max="4" width="15" hidden="1" customWidth="1"/>
    <col min="5" max="5" width="12.85546875" hidden="1" customWidth="1"/>
    <col min="6" max="6" width="13.5703125" bestFit="1" customWidth="1"/>
    <col min="7" max="8" width="22.7109375" customWidth="1"/>
    <col min="9" max="10" width="11.28515625" customWidth="1"/>
    <col min="11" max="11" width="14.7109375" customWidth="1"/>
    <col min="12" max="12" width="18.7109375" customWidth="1"/>
    <col min="13" max="14" width="11.140625" hidden="1" customWidth="1" outlineLevel="1"/>
    <col min="15" max="15" width="7.7109375" hidden="1" customWidth="1" outlineLevel="1"/>
    <col min="16" max="16" width="7.5703125" hidden="1" customWidth="1" outlineLevel="1"/>
    <col min="17" max="17" width="2" hidden="1" customWidth="1" outlineLevel="1"/>
    <col min="18" max="18" width="53.42578125" customWidth="1" collapsed="1"/>
    <col min="19" max="19" width="29.42578125" customWidth="1"/>
    <col min="20" max="20" width="9.140625" hidden="1" customWidth="1" outlineLevel="1"/>
    <col min="21" max="21" width="24.7109375" hidden="1" customWidth="1" outlineLevel="1"/>
    <col min="22" max="22" width="43" hidden="1" customWidth="1" outlineLevel="1"/>
    <col min="23" max="23" width="7.85546875" hidden="1" customWidth="1" outlineLevel="1"/>
    <col min="24" max="24" width="19.42578125" hidden="1" customWidth="1" outlineLevel="1"/>
    <col min="25" max="25" width="9.140625" collapsed="1"/>
  </cols>
  <sheetData>
    <row r="1" spans="1:44" ht="16.5" customHeight="1" thickBot="1" x14ac:dyDescent="0.35">
      <c r="A1" s="14" t="s">
        <v>108</v>
      </c>
      <c r="B1" s="15">
        <v>37</v>
      </c>
      <c r="C1" s="30"/>
      <c r="D1" s="30"/>
      <c r="E1" s="30"/>
      <c r="F1" s="30"/>
      <c r="G1" s="30"/>
      <c r="H1" s="30"/>
      <c r="I1" s="30"/>
      <c r="J1" s="30"/>
      <c r="K1" s="30"/>
      <c r="L1" s="88" t="s">
        <v>113</v>
      </c>
      <c r="M1" s="89"/>
      <c r="N1" s="89"/>
      <c r="O1" s="89"/>
      <c r="P1" s="89"/>
      <c r="Q1" s="89"/>
      <c r="R1" s="104" t="s">
        <v>117</v>
      </c>
      <c r="S1" s="105"/>
      <c r="T1" s="51"/>
      <c r="U1" s="51"/>
      <c r="V1" s="51"/>
      <c r="W1" s="30"/>
      <c r="X1" s="30"/>
      <c r="Y1" s="30"/>
      <c r="Z1" s="30"/>
      <c r="AA1" s="30"/>
      <c r="AB1" s="30"/>
      <c r="AC1" s="30"/>
      <c r="AD1" s="30"/>
      <c r="AE1" s="30"/>
      <c r="AF1" s="30"/>
      <c r="AG1" s="30"/>
      <c r="AH1" s="30"/>
      <c r="AI1" s="30"/>
      <c r="AJ1" s="30"/>
      <c r="AK1" s="30"/>
      <c r="AL1" s="30"/>
      <c r="AM1" s="30"/>
      <c r="AN1" s="30"/>
      <c r="AO1" s="30"/>
      <c r="AP1" s="30"/>
      <c r="AQ1" s="30"/>
      <c r="AR1" s="30"/>
    </row>
    <row r="2" spans="1:44" ht="16.5" x14ac:dyDescent="0.3">
      <c r="A2" s="44" t="s">
        <v>92</v>
      </c>
      <c r="B2" s="71" t="str">
        <f>Masterdata!$D$27</f>
        <v>00:00</v>
      </c>
      <c r="C2" s="30"/>
      <c r="D2" s="30"/>
      <c r="E2" s="30"/>
      <c r="F2" s="30"/>
      <c r="G2" s="30"/>
      <c r="H2" s="30"/>
      <c r="I2" s="30"/>
      <c r="J2" s="30"/>
      <c r="K2" s="30"/>
      <c r="L2" s="90"/>
      <c r="R2" s="106"/>
      <c r="S2" s="107"/>
      <c r="T2" s="51"/>
      <c r="U2" s="51"/>
      <c r="V2" s="51"/>
      <c r="W2" s="30"/>
      <c r="X2" s="30"/>
      <c r="Y2" s="30"/>
      <c r="Z2" s="30"/>
      <c r="AA2" s="30"/>
      <c r="AB2" s="30"/>
      <c r="AC2" s="30"/>
      <c r="AD2" s="30"/>
      <c r="AE2" s="30"/>
      <c r="AF2" s="30"/>
      <c r="AG2" s="30"/>
      <c r="AH2" s="30"/>
      <c r="AI2" s="30"/>
      <c r="AJ2" s="30"/>
      <c r="AK2" s="30"/>
      <c r="AL2" s="30"/>
      <c r="AM2" s="30"/>
      <c r="AN2" s="30"/>
      <c r="AO2" s="30"/>
      <c r="AP2" s="30"/>
      <c r="AQ2" s="30"/>
      <c r="AR2" s="30"/>
    </row>
    <row r="3" spans="1:44" ht="31.5" customHeight="1" x14ac:dyDescent="0.25">
      <c r="A3" s="47" t="s">
        <v>109</v>
      </c>
      <c r="B3" s="71" t="str">
        <f>IF(Q39&lt;0,"-"&amp;TEXT(ABS(Q39/24),"[tt]:mm"),TEXT(Q39/24,"[tt]:mm"))</f>
        <v>00:00</v>
      </c>
      <c r="C3" s="30"/>
      <c r="D3" s="30"/>
      <c r="E3" s="30"/>
      <c r="F3" s="30"/>
      <c r="G3" s="30"/>
      <c r="H3" s="30"/>
      <c r="I3" s="30"/>
      <c r="J3" s="30"/>
      <c r="K3" s="30"/>
      <c r="L3" s="91" t="s">
        <v>18</v>
      </c>
      <c r="R3" s="108" t="s">
        <v>130</v>
      </c>
      <c r="S3" s="109"/>
      <c r="T3" s="52"/>
      <c r="U3" s="52"/>
      <c r="V3" s="52"/>
      <c r="W3" s="30"/>
      <c r="X3" s="30"/>
      <c r="Y3" s="30"/>
      <c r="Z3" s="30"/>
      <c r="AA3" s="30"/>
      <c r="AB3" s="30"/>
      <c r="AC3" s="30"/>
      <c r="AD3" s="30"/>
      <c r="AE3" s="30"/>
      <c r="AF3" s="30"/>
      <c r="AG3" s="30"/>
      <c r="AH3" s="30"/>
      <c r="AI3" s="30"/>
      <c r="AJ3" s="30"/>
      <c r="AK3" s="30"/>
      <c r="AL3" s="30"/>
      <c r="AM3" s="30"/>
      <c r="AN3" s="30"/>
      <c r="AO3" s="30"/>
      <c r="AP3" s="30"/>
      <c r="AQ3" s="30"/>
      <c r="AR3" s="30"/>
    </row>
    <row r="4" spans="1:44" ht="54.95" customHeight="1" x14ac:dyDescent="0.25">
      <c r="A4" s="17" t="s">
        <v>110</v>
      </c>
      <c r="B4" s="48">
        <f>Masterdata!$B$5</f>
        <v>2025</v>
      </c>
      <c r="C4" s="30"/>
      <c r="D4" s="30"/>
      <c r="E4" s="30"/>
      <c r="F4" s="30"/>
      <c r="G4" s="30"/>
      <c r="H4" s="30"/>
      <c r="I4" s="30"/>
      <c r="J4" s="30"/>
      <c r="K4" s="30"/>
      <c r="L4" s="92" t="s">
        <v>19</v>
      </c>
      <c r="R4" s="110" t="s">
        <v>132</v>
      </c>
      <c r="S4" s="111"/>
      <c r="T4" s="53"/>
      <c r="U4" s="53"/>
      <c r="V4" s="53"/>
      <c r="W4" s="30"/>
      <c r="X4" s="30"/>
      <c r="Y4" s="30"/>
      <c r="Z4" s="30"/>
      <c r="AA4" s="30"/>
      <c r="AB4" s="30"/>
      <c r="AC4" s="30"/>
      <c r="AD4" s="30"/>
      <c r="AE4" s="30"/>
      <c r="AF4" s="30"/>
      <c r="AG4" s="30"/>
      <c r="AH4" s="30"/>
      <c r="AI4" s="30"/>
      <c r="AJ4" s="30"/>
      <c r="AK4" s="30"/>
      <c r="AL4" s="30"/>
      <c r="AM4" s="30"/>
      <c r="AN4" s="30"/>
      <c r="AO4" s="30"/>
      <c r="AP4" s="30"/>
      <c r="AQ4" s="30"/>
      <c r="AR4" s="30"/>
    </row>
    <row r="5" spans="1:44" ht="16.5" thickBot="1" x14ac:dyDescent="0.3">
      <c r="A5" s="13" t="s">
        <v>89</v>
      </c>
      <c r="B5" s="18" t="s">
        <v>16</v>
      </c>
      <c r="C5" s="30"/>
      <c r="D5" s="30"/>
      <c r="E5" s="30"/>
      <c r="F5" s="30"/>
      <c r="G5" s="30"/>
      <c r="H5" s="30"/>
      <c r="I5" s="30"/>
      <c r="J5" s="30"/>
      <c r="K5" s="30"/>
      <c r="L5" s="93" t="s">
        <v>118</v>
      </c>
      <c r="M5" s="94"/>
      <c r="N5" s="94"/>
      <c r="O5" s="94"/>
      <c r="P5" s="94"/>
      <c r="Q5" s="94"/>
      <c r="R5" s="112" t="s">
        <v>119</v>
      </c>
      <c r="S5" s="113"/>
      <c r="T5" s="30"/>
      <c r="U5" s="30"/>
      <c r="V5" s="30"/>
      <c r="W5" s="30"/>
      <c r="X5" s="30"/>
      <c r="Y5" s="30"/>
      <c r="Z5" s="30"/>
      <c r="AA5" s="30"/>
      <c r="AB5" s="30"/>
      <c r="AC5" s="30"/>
      <c r="AD5" s="30"/>
      <c r="AE5" s="30"/>
      <c r="AF5" s="30"/>
      <c r="AG5" s="30"/>
      <c r="AH5" s="30"/>
      <c r="AI5" s="30"/>
      <c r="AJ5" s="30"/>
      <c r="AK5" s="30"/>
      <c r="AL5" s="30"/>
      <c r="AM5" s="30"/>
      <c r="AN5" s="30"/>
      <c r="AO5" s="30"/>
      <c r="AP5" s="30"/>
      <c r="AQ5" s="30"/>
      <c r="AR5" s="30"/>
    </row>
    <row r="6" spans="1:44" ht="16.5" thickBot="1"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44" ht="21.75" customHeight="1" thickBot="1" x14ac:dyDescent="0.3">
      <c r="A7" s="4" t="s">
        <v>111</v>
      </c>
      <c r="B7" s="5" t="s">
        <v>94</v>
      </c>
      <c r="C7" s="5" t="s">
        <v>112</v>
      </c>
      <c r="D7" s="5" t="s">
        <v>21</v>
      </c>
      <c r="E7" s="5" t="s">
        <v>22</v>
      </c>
      <c r="F7" s="5" t="s">
        <v>113</v>
      </c>
      <c r="G7" s="5" t="s">
        <v>108</v>
      </c>
      <c r="H7" s="5" t="s">
        <v>114</v>
      </c>
      <c r="I7" s="6" t="s">
        <v>23</v>
      </c>
      <c r="J7" s="6" t="s">
        <v>107</v>
      </c>
      <c r="K7" s="6" t="s">
        <v>115</v>
      </c>
      <c r="L7" s="5" t="s">
        <v>120</v>
      </c>
      <c r="M7" s="22" t="s">
        <v>24</v>
      </c>
      <c r="N7" s="23" t="s">
        <v>25</v>
      </c>
      <c r="O7" s="23" t="s">
        <v>26</v>
      </c>
      <c r="P7" s="23"/>
      <c r="Q7" s="30"/>
      <c r="R7" s="102" t="s">
        <v>121</v>
      </c>
      <c r="S7" s="103"/>
      <c r="T7" s="30"/>
      <c r="U7" s="30"/>
      <c r="V7" s="30" t="s">
        <v>27</v>
      </c>
      <c r="W7" s="30">
        <v>5</v>
      </c>
      <c r="X7" s="30"/>
      <c r="Y7" s="30"/>
      <c r="Z7" s="30"/>
      <c r="AA7" s="30"/>
      <c r="AB7" s="30"/>
      <c r="AC7" s="30"/>
      <c r="AD7" s="30"/>
      <c r="AE7" s="30"/>
      <c r="AF7" s="30"/>
      <c r="AG7" s="30"/>
      <c r="AH7" s="30"/>
      <c r="AI7" s="30"/>
      <c r="AJ7" s="30"/>
      <c r="AK7" s="30"/>
      <c r="AL7" s="30"/>
      <c r="AM7" s="30"/>
      <c r="AN7" s="30"/>
      <c r="AO7" s="30"/>
      <c r="AP7" s="30"/>
      <c r="AQ7" s="30"/>
      <c r="AR7" s="30"/>
    </row>
    <row r="8" spans="1:44" ht="15.75" x14ac:dyDescent="0.25">
      <c r="A8" s="7">
        <f>WEEKNUM($B8,21)</f>
        <v>49</v>
      </c>
      <c r="B8" s="8">
        <f>DATE(Masterdata!$B$5,12,1)</f>
        <v>45992</v>
      </c>
      <c r="C8" s="9" t="str" cm="1">
        <f t="array" ref="C8">_xlfn.XLOOKUP(E8,Masterdata!$B$31:$B$44,Masterdata!$A$31:$A$44,_xlfn.SWITCH(WEEKDAY($D8, 2), 1, "Monday", 2, "Tuesday", 3, "Wednesday", 4, "Thursday", 5, "Friday", 6, "Saturday", 7, "Sunday"),0)</f>
        <v>Monday</v>
      </c>
      <c r="D8" s="30">
        <f t="shared" ref="D8:D38" si="0">WEEKDAY($B8, 2)+1</f>
        <v>2</v>
      </c>
      <c r="E8" s="72">
        <f>$B8</f>
        <v>45992</v>
      </c>
      <c r="F8" s="10" t="s">
        <v>18</v>
      </c>
      <c r="G8" s="12">
        <f>IF(AND(F8="N",NOT(OR($C8="Monday", $C8="Tuesday",$C8="Wednesday",$C8="Thursday",$C8="Friday"))),0,IFERROR(
    IF($F8="N", $W$9,
        IF(OR(
            AND(Masterdata!$B$4&lt;&gt;DATE(1900,1,0), Masterdata!$B$4&lt;$E8),
            AND(Masterdata!$B$3&lt;&gt;DATE(1900,1,0), Masterdata!$B$3&gt;$E8)
        ),
        IF($H8&gt;=TIME(0,0,0), "Type in next cell", 0),
        IF($H8&gt;=TIME(0,0,0), "Type in next cell",
            IF($H8&gt;=0, 0,
                IF(NOT(OR($C8="Monday", $C8="Tuesday",$C8="Wednesday",$C8="Thursday",$C8="Friday")), 0, 0)
            )
        )
    )),
"Type in next cell"))</f>
        <v>0.30833333333333335</v>
      </c>
      <c r="H8" s="11">
        <v>0</v>
      </c>
      <c r="I8" s="11">
        <v>0</v>
      </c>
      <c r="J8" s="11">
        <v>0</v>
      </c>
      <c r="K8" s="27" t="str">
        <f>IF($F8="N",TEXT(0,"[tt]:mm"),
IF($H8&lt;&gt;0,TEXT($H8,"[tt]:mm"),IF(
$J8-$I8&gt;=0,
TEXT($J8-$I8,"[tt]:mm"),
"-"&amp;TEXT(ABS($J8-$I8),"[tt]:mm"))))</f>
        <v>00:00</v>
      </c>
      <c r="L8" s="27" t="str">
        <f>IF(F8="N","0:00",IF(
OR(
AND(Masterdata!$B$4&lt;&gt;DATE(1900,1,0),Masterdata!$B$4&lt;$E8),
AND(Masterdata!$B$3&lt;&gt;DATE(1900,1,0),Masterdata!$B$3&gt;$E8)
),
"0:00",
IF(
$H8&gt;TIME(0,0,0),
IF(
NOT(OR($C8="Monday", $C8="Tuesday",$C8="Wednesday",$C8="Thursday",$C8="Friday")),
TEXT($H8,"[tt]:mm"),
IF($H8-$W$9&gt;=0,TEXT($H8-$W$9,"[tt]:mm"),"-"&amp;TEXT(ABS($H8-$W$9),"[tt]:mm"))
),
IF(
NOT(OR($C8="Monday", $C8="Tuesday",$C8="Wednesday",$C8="Thursday",$C8="Friday")),
IF($J8-$I8&gt;=0,TEXT($J8-$I8,"[tt]:mm"),"-"&amp;TEXT(ABS($J8-$I8),"[tt]:mm")),
IFERROR(
IF($G8-$W$9=0,
IF($G8-$W$9&gt;=0,TEXT($G8-$W$9,"[tt]:mm"),"-"&amp;TEXT(ABS($G8-$W$9),"[tt]:mm")),
IF($J8-$I8&gt;=0,TEXT($J8-$I8,"[tt]:mm"),"-"&amp;TEXT(ABS($J8-$I8),"[tt]:mm"))
),
IF(
$J8-$I8-$W$9&gt;=0,
TEXT($J8-$I8-$W$9,"[tt]:mm"),
"-"&amp;TEXT(ABS($J8-$I8-$W$9),"[tt]:mm")
)
)
)
)
))</f>
        <v>0:00</v>
      </c>
      <c r="M8" s="73" t="str">
        <f>LEFT(L8,1)</f>
        <v>0</v>
      </c>
      <c r="N8" s="25" t="str">
        <f>IF($M8="-",LEFT($L8,3),LEFT($L8,2))</f>
        <v>0:</v>
      </c>
      <c r="O8" s="56" t="str">
        <f>IF($M8="-",MID($L8,5,2),MID($L8,4,2))</f>
        <v>0</v>
      </c>
      <c r="P8" s="57">
        <f>O8/60</f>
        <v>0</v>
      </c>
      <c r="Q8" s="31">
        <f>IF(M8="-",N8-P8,N8+P8)</f>
        <v>0</v>
      </c>
      <c r="R8" s="101"/>
      <c r="S8" s="101"/>
      <c r="T8" s="30"/>
      <c r="U8" s="30"/>
      <c r="V8" s="30" t="s">
        <v>28</v>
      </c>
      <c r="W8" s="74">
        <f>B1/W7</f>
        <v>7.4</v>
      </c>
      <c r="X8" s="30">
        <v>0</v>
      </c>
      <c r="Y8" s="75"/>
      <c r="Z8" s="30"/>
      <c r="AA8" s="30"/>
      <c r="AB8" s="30"/>
      <c r="AC8" s="30"/>
      <c r="AD8" s="30"/>
      <c r="AE8" s="30"/>
      <c r="AF8" s="30"/>
      <c r="AG8" s="30"/>
      <c r="AH8" s="30"/>
      <c r="AI8" s="30"/>
      <c r="AJ8" s="30"/>
      <c r="AK8" s="30"/>
      <c r="AL8" s="30"/>
      <c r="AM8" s="30"/>
      <c r="AN8" s="30"/>
      <c r="AO8" s="30"/>
      <c r="AP8" s="30"/>
      <c r="AQ8" s="30"/>
      <c r="AR8" s="30"/>
    </row>
    <row r="9" spans="1:44" ht="15.75" x14ac:dyDescent="0.25">
      <c r="A9" s="7">
        <f t="shared" ref="A9:A38" si="1">WEEKNUM($B9,21)</f>
        <v>49</v>
      </c>
      <c r="B9" s="8">
        <f>B8+1</f>
        <v>45993</v>
      </c>
      <c r="C9" s="9" t="str" cm="1">
        <f t="array" ref="C9">_xlfn.XLOOKUP(E9,Masterdata!$B$31:$B$44,Masterdata!$A$31:$A$44,_xlfn.SWITCH(WEEKDAY($D9, 2), 1, "Monday", 2, "Tuesday", 3, "Wednesday", 4, "Thursday", 5, "Friday", 6, "Saturday", 7, "Sunday"),0)</f>
        <v>Tuesday</v>
      </c>
      <c r="D9" s="30">
        <f t="shared" si="0"/>
        <v>3</v>
      </c>
      <c r="E9" s="72">
        <f t="shared" ref="E9:E38" si="2">$B9</f>
        <v>45993</v>
      </c>
      <c r="F9" s="10" t="s">
        <v>18</v>
      </c>
      <c r="G9" s="12">
        <f>IF(AND(F9="N",NOT(OR($C9="Monday", $C9="Tuesday",$C9="Wednesday",$C9="Thursday",$C9="Friday"))),0,IFERROR(
    IF($F9="N", $W$9,
        IF(OR(
            AND(Masterdata!$B$4&lt;&gt;DATE(1900,1,0), Masterdata!$B$4&lt;$E9),
            AND(Masterdata!$B$3&lt;&gt;DATE(1900,1,0), Masterdata!$B$3&gt;$E9)
        ),
        IF($H9&gt;=TIME(0,0,0), "Type in next cell", 0),
        IF($H9&gt;=TIME(0,0,0), "Type in next cell",
            IF($H9&gt;=0, 0,
                IF(NOT(OR($C9="Monday", $C9="Tuesday",$C9="Wednesday",$C9="Thursday",$C9="Friday")), 0, 0)
            )
        )
    )),
"Type in next cell"))</f>
        <v>0.30833333333333335</v>
      </c>
      <c r="H9" s="11">
        <v>0</v>
      </c>
      <c r="I9" s="11">
        <v>0</v>
      </c>
      <c r="J9" s="11">
        <v>0</v>
      </c>
      <c r="K9" s="27" t="str">
        <f t="shared" ref="K9:K38" si="3">IF($F9="N",TEXT(0,"[tt]:mm"),
IF($H9&lt;&gt;0,TEXT($H9,"[tt]:mm"),IF(
$J9-$I9&gt;=0,
TEXT($J9-$I9,"[tt]:mm"),
"-"&amp;TEXT(ABS($J9-$I9),"[tt]:mm"))))</f>
        <v>00:00</v>
      </c>
      <c r="L9" s="27" t="str">
        <f>IF(F9="N","0:00",IF(
OR(
AND(Masterdata!$B$4&lt;&gt;DATE(1900,1,0),Masterdata!$B$4&lt;$E9),
AND(Masterdata!$B$3&lt;&gt;DATE(1900,1,0),Masterdata!$B$3&gt;$E9)
),
"0:00",
IF(
$H9&gt;TIME(0,0,0),
IF(
NOT(OR($C9="Monday", $C9="Tuesday",$C9="Wednesday",$C9="Thursday",$C9="Friday")),
TEXT($H9,"[tt]:mm"),
IF($H9-$W$9&gt;=0,TEXT($H9-$W$9,"[tt]:mm"),"-"&amp;TEXT(ABS($H9-$W$9),"[tt]:mm"))
),
IF(
NOT(OR($C9="Monday", $C9="Tuesday",$C9="Wednesday",$C9="Thursday",$C9="Friday")),
IF($J9-$I9&gt;=0,TEXT($J9-$I9,"[tt]:mm"),"-"&amp;TEXT(ABS($J9-$I9),"[tt]:mm")),
IFERROR(
IF($G9-$W$9=0,
IF($G9-$W$9&gt;=0,TEXT($G9-$W$9,"[tt]:mm"),"-"&amp;TEXT(ABS($G9-$W$9),"[tt]:mm")),
IF($J9-$I9&gt;=0,TEXT($J9-$I9,"[tt]:mm"),"-"&amp;TEXT(ABS($J9-$I9),"[tt]:mm"))
),
IF(
$J9-$I9-$W$9&gt;=0,
TEXT($J9-$I9-$W$9,"[tt]:mm"),
"-"&amp;TEXT(ABS($J9-$I9-$W$9),"[tt]:mm")
)
)
)
)
))</f>
        <v>0:00</v>
      </c>
      <c r="M9" s="73" t="str">
        <f t="shared" ref="M9:M19" si="4">LEFT(L9,1)</f>
        <v>0</v>
      </c>
      <c r="N9" s="25" t="str">
        <f t="shared" ref="N9:N38" si="5">IF($M9="-",LEFT($L9,3),LEFT($L9,2))</f>
        <v>0:</v>
      </c>
      <c r="O9" s="56" t="str">
        <f t="shared" ref="O9:O38" si="6">IF($M9="-",MID($L9,5,2),MID($L9,4,2))</f>
        <v>0</v>
      </c>
      <c r="P9" s="57">
        <f t="shared" ref="P9:P13" si="7">O9/60</f>
        <v>0</v>
      </c>
      <c r="Q9" s="31">
        <f t="shared" ref="Q9:Q13" si="8">IF(M9="-",N9-P9,N9+P9)</f>
        <v>0</v>
      </c>
      <c r="R9" s="101"/>
      <c r="S9" s="101"/>
      <c r="T9" s="30"/>
      <c r="U9" s="30"/>
      <c r="V9" s="30" t="s">
        <v>29</v>
      </c>
      <c r="W9" s="75">
        <f>W8/24</f>
        <v>0.30833333333333335</v>
      </c>
      <c r="X9" s="30"/>
      <c r="Y9" s="30"/>
      <c r="Z9" s="30"/>
      <c r="AA9" s="30"/>
      <c r="AB9" s="30"/>
      <c r="AC9" s="30"/>
      <c r="AD9" s="30"/>
      <c r="AE9" s="30"/>
      <c r="AF9" s="30"/>
      <c r="AG9" s="30"/>
      <c r="AH9" s="30"/>
      <c r="AI9" s="30"/>
      <c r="AJ9" s="30"/>
      <c r="AK9" s="30"/>
      <c r="AL9" s="30"/>
      <c r="AM9" s="30"/>
      <c r="AN9" s="30"/>
      <c r="AO9" s="30"/>
      <c r="AP9" s="30"/>
      <c r="AQ9" s="30"/>
      <c r="AR9" s="30"/>
    </row>
    <row r="10" spans="1:44" ht="15.75" x14ac:dyDescent="0.25">
      <c r="A10" s="7">
        <f t="shared" si="1"/>
        <v>49</v>
      </c>
      <c r="B10" s="8">
        <f t="shared" ref="B10:B38" si="9">B9+1</f>
        <v>45994</v>
      </c>
      <c r="C10" s="9" t="str" cm="1">
        <f t="array" ref="C10">_xlfn.XLOOKUP(E10,Masterdata!$B$31:$B$44,Masterdata!$A$31:$A$44,_xlfn.SWITCH(WEEKDAY($D10, 2), 1, "Monday", 2, "Tuesday", 3, "Wednesday", 4, "Thursday", 5, "Friday", 6, "Saturday", 7, "Sunday"),0)</f>
        <v>Wednesday</v>
      </c>
      <c r="D10" s="30">
        <f t="shared" si="0"/>
        <v>4</v>
      </c>
      <c r="E10" s="72">
        <f t="shared" si="2"/>
        <v>45994</v>
      </c>
      <c r="F10" s="10" t="s">
        <v>18</v>
      </c>
      <c r="G10" s="12">
        <f>IF(AND(F10="N",NOT(OR($C10="Monday", $C10="Tuesday",$C10="Wednesday",$C10="Thursday",$C10="Friday"))),0,IFERROR(
    IF($F10="N", $W$9,
        IF(OR(
            AND(Masterdata!$B$4&lt;&gt;DATE(1900,1,0), Masterdata!$B$4&lt;$E10),
            AND(Masterdata!$B$3&lt;&gt;DATE(1900,1,0), Masterdata!$B$3&gt;$E10)
        ),
        IF($H10&gt;=TIME(0,0,0), "Type in next cell", 0),
        IF($H10&gt;=TIME(0,0,0), "Type in next cell",
            IF($H10&gt;=0, 0,
                IF(NOT(OR($C10="Monday", $C10="Tuesday",$C10="Wednesday",$C10="Thursday",$C10="Friday")), 0, 0)
            )
        )
    )),
"Type in next cell"))</f>
        <v>0.30833333333333335</v>
      </c>
      <c r="H10" s="11">
        <v>0</v>
      </c>
      <c r="I10" s="11">
        <v>0</v>
      </c>
      <c r="J10" s="11">
        <v>0</v>
      </c>
      <c r="K10" s="27" t="str">
        <f t="shared" si="3"/>
        <v>00:00</v>
      </c>
      <c r="L10" s="27" t="str">
        <f>IF(F10="N","0:00",IF(
OR(
AND(Masterdata!$B$4&lt;&gt;DATE(1900,1,0),Masterdata!$B$4&lt;$E10),
AND(Masterdata!$B$3&lt;&gt;DATE(1900,1,0),Masterdata!$B$3&gt;$E10)
),
"0:00",
IF(
$H10&gt;TIME(0,0,0),
IF(
NOT(OR($C10="Monday", $C10="Tuesday",$C10="Wednesday",$C10="Thursday",$C10="Friday")),
TEXT($H10,"[tt]:mm"),
IF($H10-$W$9&gt;=0,TEXT($H10-$W$9,"[tt]:mm"),"-"&amp;TEXT(ABS($H10-$W$9),"[tt]:mm"))
),
IF(
NOT(OR($C10="Monday", $C10="Tuesday",$C10="Wednesday",$C10="Thursday",$C10="Friday")),
IF($J10-$I10&gt;=0,TEXT($J10-$I10,"[tt]:mm"),"-"&amp;TEXT(ABS($J10-$I10),"[tt]:mm")),
IFERROR(
IF($G10-$W$9=0,
IF($G10-$W$9&gt;=0,TEXT($G10-$W$9,"[tt]:mm"),"-"&amp;TEXT(ABS($G10-$W$9),"[tt]:mm")),
IF($J10-$I10&gt;=0,TEXT($J10-$I10,"[tt]:mm"),"-"&amp;TEXT(ABS($J10-$I10),"[tt]:mm"))
),
IF(
$J10-$I10-$W$9&gt;=0,
TEXT($J10-$I10-$W$9,"[tt]:mm"),
"-"&amp;TEXT(ABS($J10-$I10-$W$9),"[tt]:mm")
)
)
)
)
))</f>
        <v>0:00</v>
      </c>
      <c r="M10" s="73" t="str">
        <f t="shared" si="4"/>
        <v>0</v>
      </c>
      <c r="N10" s="25" t="str">
        <f t="shared" si="5"/>
        <v>0:</v>
      </c>
      <c r="O10" s="56" t="str">
        <f t="shared" si="6"/>
        <v>0</v>
      </c>
      <c r="P10" s="57">
        <f t="shared" si="7"/>
        <v>0</v>
      </c>
      <c r="Q10" s="31">
        <f t="shared" si="8"/>
        <v>0</v>
      </c>
      <c r="R10" s="101"/>
      <c r="S10" s="101"/>
      <c r="T10" s="30" t="s">
        <v>18</v>
      </c>
      <c r="U10" s="30" t="s">
        <v>30</v>
      </c>
      <c r="V10" s="30" t="s">
        <v>31</v>
      </c>
      <c r="W10" s="31">
        <f>(B1/37)*160.33</f>
        <v>160.33000000000001</v>
      </c>
      <c r="X10" s="30"/>
      <c r="Y10" s="30"/>
      <c r="Z10" s="30"/>
      <c r="AA10" s="30"/>
      <c r="AB10" s="30"/>
      <c r="AC10" s="30"/>
      <c r="AD10" s="30"/>
      <c r="AE10" s="30"/>
      <c r="AF10" s="30"/>
      <c r="AG10" s="30"/>
      <c r="AH10" s="30"/>
      <c r="AI10" s="30"/>
      <c r="AJ10" s="30"/>
      <c r="AK10" s="30"/>
      <c r="AL10" s="30"/>
      <c r="AM10" s="30"/>
      <c r="AN10" s="30"/>
      <c r="AO10" s="30"/>
      <c r="AP10" s="30"/>
      <c r="AQ10" s="30"/>
      <c r="AR10" s="30"/>
    </row>
    <row r="11" spans="1:44" ht="15.75" x14ac:dyDescent="0.25">
      <c r="A11" s="7">
        <f t="shared" si="1"/>
        <v>49</v>
      </c>
      <c r="B11" s="8">
        <f t="shared" si="9"/>
        <v>45995</v>
      </c>
      <c r="C11" s="9" t="str" cm="1">
        <f t="array" ref="C11">_xlfn.XLOOKUP(E11,Masterdata!$B$31:$B$44,Masterdata!$A$31:$A$44,_xlfn.SWITCH(WEEKDAY($D11, 2), 1, "Monday", 2, "Tuesday", 3, "Wednesday", 4, "Thursday", 5, "Friday", 6, "Saturday", 7, "Sunday"),0)</f>
        <v>Thursday</v>
      </c>
      <c r="D11" s="30">
        <f t="shared" si="0"/>
        <v>5</v>
      </c>
      <c r="E11" s="72">
        <f t="shared" si="2"/>
        <v>45995</v>
      </c>
      <c r="F11" s="10" t="s">
        <v>18</v>
      </c>
      <c r="G11" s="12">
        <f>IF(AND(F11="N",NOT(OR($C11="Monday", $C11="Tuesday",$C11="Wednesday",$C11="Thursday",$C11="Friday"))),0,IFERROR(
    IF($F11="N", $W$9,
        IF(OR(
            AND(Masterdata!$B$4&lt;&gt;DATE(1900,1,0), Masterdata!$B$4&lt;$E11),
            AND(Masterdata!$B$3&lt;&gt;DATE(1900,1,0), Masterdata!$B$3&gt;$E11)
        ),
        IF($H11&gt;=TIME(0,0,0), "Type in next cell", 0),
        IF($H11&gt;=TIME(0,0,0), "Type in next cell",
            IF($H11&gt;=0, 0,
                IF(NOT(OR($C11="Monday", $C11="Tuesday",$C11="Wednesday",$C11="Thursday",$C11="Friday")), 0, 0)
            )
        )
    )),
"Type in next cell"))</f>
        <v>0.30833333333333335</v>
      </c>
      <c r="H11" s="11">
        <v>0</v>
      </c>
      <c r="I11" s="11">
        <v>0</v>
      </c>
      <c r="J11" s="11">
        <v>0</v>
      </c>
      <c r="K11" s="27" t="str">
        <f t="shared" si="3"/>
        <v>00:00</v>
      </c>
      <c r="L11" s="27" t="str">
        <f>IF(F11="N","0:00",IF(
OR(
AND(Masterdata!$B$4&lt;&gt;DATE(1900,1,0),Masterdata!$B$4&lt;$E11),
AND(Masterdata!$B$3&lt;&gt;DATE(1900,1,0),Masterdata!$B$3&gt;$E11)
),
"0:00",
IF(
$H11&gt;TIME(0,0,0),
IF(
NOT(OR($C11="Monday", $C11="Tuesday",$C11="Wednesday",$C11="Thursday",$C11="Friday")),
TEXT($H11,"[tt]:mm"),
IF($H11-$W$9&gt;=0,TEXT($H11-$W$9,"[tt]:mm"),"-"&amp;TEXT(ABS($H11-$W$9),"[tt]:mm"))
),
IF(
NOT(OR($C11="Monday", $C11="Tuesday",$C11="Wednesday",$C11="Thursday",$C11="Friday")),
IF($J11-$I11&gt;=0,TEXT($J11-$I11,"[tt]:mm"),"-"&amp;TEXT(ABS($J11-$I11),"[tt]:mm")),
IFERROR(
IF($G11-$W$9=0,
IF($G11-$W$9&gt;=0,TEXT($G11-$W$9,"[tt]:mm"),"-"&amp;TEXT(ABS($G11-$W$9),"[tt]:mm")),
IF($J11-$I11&gt;=0,TEXT($J11-$I11,"[tt]:mm"),"-"&amp;TEXT(ABS($J11-$I11),"[tt]:mm"))
),
IF(
$J11-$I11-$W$9&gt;=0,
TEXT($J11-$I11-$W$9,"[tt]:mm"),
"-"&amp;TEXT(ABS($J11-$I11-$W$9),"[tt]:mm")
)
)
)
)
))</f>
        <v>0:00</v>
      </c>
      <c r="M11" s="73" t="str">
        <f t="shared" si="4"/>
        <v>0</v>
      </c>
      <c r="N11" s="25" t="str">
        <f t="shared" si="5"/>
        <v>0:</v>
      </c>
      <c r="O11" s="56" t="str">
        <f t="shared" si="6"/>
        <v>0</v>
      </c>
      <c r="P11" s="57">
        <f t="shared" si="7"/>
        <v>0</v>
      </c>
      <c r="Q11" s="31">
        <f t="shared" si="8"/>
        <v>0</v>
      </c>
      <c r="R11" s="101"/>
      <c r="S11" s="101"/>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ht="15.75" x14ac:dyDescent="0.25">
      <c r="A12" s="7">
        <f t="shared" si="1"/>
        <v>49</v>
      </c>
      <c r="B12" s="8">
        <f t="shared" si="9"/>
        <v>45996</v>
      </c>
      <c r="C12" s="9" t="str" cm="1">
        <f t="array" ref="C12">_xlfn.XLOOKUP(E12,Masterdata!$B$31:$B$44,Masterdata!$A$31:$A$44,_xlfn.SWITCH(WEEKDAY($D12, 2), 1, "Monday", 2, "Tuesday", 3, "Wednesday", 4, "Thursday", 5, "Friday", 6, "Saturday", 7, "Sunday"),0)</f>
        <v>Friday</v>
      </c>
      <c r="D12" s="30">
        <f t="shared" si="0"/>
        <v>6</v>
      </c>
      <c r="E12" s="72">
        <f t="shared" si="2"/>
        <v>45996</v>
      </c>
      <c r="F12" s="10" t="s">
        <v>18</v>
      </c>
      <c r="G12" s="12">
        <f>IF(AND(F12="N",NOT(OR($C12="Monday", $C12="Tuesday",$C12="Wednesday",$C12="Thursday",$C12="Friday"))),0,IFERROR(
    IF($F12="N", $W$9,
        IF(OR(
            AND(Masterdata!$B$4&lt;&gt;DATE(1900,1,0), Masterdata!$B$4&lt;$E12),
            AND(Masterdata!$B$3&lt;&gt;DATE(1900,1,0), Masterdata!$B$3&gt;$E12)
        ),
        IF($H12&gt;=TIME(0,0,0), "Type in next cell", 0),
        IF($H12&gt;=TIME(0,0,0), "Type in next cell",
            IF($H12&gt;=0, 0,
                IF(NOT(OR($C12="Monday", $C12="Tuesday",$C12="Wednesday",$C12="Thursday",$C12="Friday")), 0, 0)
            )
        )
    )),
"Type in next cell"))</f>
        <v>0.30833333333333335</v>
      </c>
      <c r="H12" s="11">
        <v>0</v>
      </c>
      <c r="I12" s="11">
        <v>0</v>
      </c>
      <c r="J12" s="11">
        <v>0</v>
      </c>
      <c r="K12" s="27" t="str">
        <f t="shared" si="3"/>
        <v>00:00</v>
      </c>
      <c r="L12" s="27" t="str">
        <f>IF(F12="N","0:00",IF(
OR(
AND(Masterdata!$B$4&lt;&gt;DATE(1900,1,0),Masterdata!$B$4&lt;$E12),
AND(Masterdata!$B$3&lt;&gt;DATE(1900,1,0),Masterdata!$B$3&gt;$E12)
),
"0:00",
IF(
$H12&gt;TIME(0,0,0),
IF(
NOT(OR($C12="Monday", $C12="Tuesday",$C12="Wednesday",$C12="Thursday",$C12="Friday")),
TEXT($H12,"[tt]:mm"),
IF($H12-$W$9&gt;=0,TEXT($H12-$W$9,"[tt]:mm"),"-"&amp;TEXT(ABS($H12-$W$9),"[tt]:mm"))
),
IF(
NOT(OR($C12="Monday", $C12="Tuesday",$C12="Wednesday",$C12="Thursday",$C12="Friday")),
IF($J12-$I12&gt;=0,TEXT($J12-$I12,"[tt]:mm"),"-"&amp;TEXT(ABS($J12-$I12),"[tt]:mm")),
IFERROR(
IF($G12-$W$9=0,
IF($G12-$W$9&gt;=0,TEXT($G12-$W$9,"[tt]:mm"),"-"&amp;TEXT(ABS($G12-$W$9),"[tt]:mm")),
IF($J12-$I12&gt;=0,TEXT($J12-$I12,"[tt]:mm"),"-"&amp;TEXT(ABS($J12-$I12),"[tt]:mm"))
),
IF(
$J12-$I12-$W$9&gt;=0,
TEXT($J12-$I12-$W$9,"[tt]:mm"),
"-"&amp;TEXT(ABS($J12-$I12-$W$9),"[tt]:mm")
)
)
)
)
))</f>
        <v>0:00</v>
      </c>
      <c r="M12" s="73" t="str">
        <f t="shared" si="4"/>
        <v>0</v>
      </c>
      <c r="N12" s="25" t="str">
        <f t="shared" si="5"/>
        <v>0:</v>
      </c>
      <c r="O12" s="56" t="str">
        <f t="shared" si="6"/>
        <v>0</v>
      </c>
      <c r="P12" s="57">
        <f t="shared" si="7"/>
        <v>0</v>
      </c>
      <c r="Q12" s="31">
        <f t="shared" si="8"/>
        <v>0</v>
      </c>
      <c r="R12" s="101"/>
      <c r="S12" s="101"/>
      <c r="T12" s="30"/>
      <c r="U12" s="30"/>
      <c r="V12" s="30"/>
      <c r="W12" s="31"/>
      <c r="X12" s="30"/>
      <c r="Y12" s="30"/>
      <c r="Z12" s="30"/>
      <c r="AA12" s="30"/>
      <c r="AB12" s="30"/>
      <c r="AC12" s="30"/>
      <c r="AD12" s="30"/>
      <c r="AE12" s="30"/>
      <c r="AF12" s="30"/>
      <c r="AG12" s="30"/>
      <c r="AH12" s="30"/>
      <c r="AI12" s="30"/>
      <c r="AJ12" s="30"/>
      <c r="AK12" s="30"/>
      <c r="AL12" s="30"/>
      <c r="AM12" s="30"/>
      <c r="AN12" s="30"/>
      <c r="AO12" s="30"/>
      <c r="AP12" s="30"/>
      <c r="AQ12" s="30"/>
      <c r="AR12" s="30"/>
    </row>
    <row r="13" spans="1:44" ht="15.75" x14ac:dyDescent="0.25">
      <c r="A13" s="7">
        <f t="shared" si="1"/>
        <v>49</v>
      </c>
      <c r="B13" s="8">
        <f t="shared" si="9"/>
        <v>45997</v>
      </c>
      <c r="C13" s="9" t="str" cm="1">
        <f t="array" ref="C13">_xlfn.XLOOKUP(E13,Masterdata!$B$31:$B$44,Masterdata!$A$31:$A$44,_xlfn.SWITCH(WEEKDAY($D13, 2), 1, "Monday", 2, "Tuesday", 3, "Wednesday", 4, "Thursday", 5, "Friday", 6, "Saturday", 7, "Sunday"),0)</f>
        <v>Saturday</v>
      </c>
      <c r="D13" s="30">
        <f t="shared" si="0"/>
        <v>7</v>
      </c>
      <c r="E13" s="72">
        <f t="shared" si="2"/>
        <v>45997</v>
      </c>
      <c r="F13" s="10" t="s">
        <v>18</v>
      </c>
      <c r="G13" s="12">
        <f>IF(AND(F13="N",NOT(OR($C13="Monday", $C13="Tuesday",$C13="Wednesday",$C13="Thursday",$C13="Friday"))),0,IFERROR(
    IF($F13="N", $W$9,
        IF(OR(
            AND(Masterdata!$B$4&lt;&gt;DATE(1900,1,0), Masterdata!$B$4&lt;$E13),
            AND(Masterdata!$B$3&lt;&gt;DATE(1900,1,0), Masterdata!$B$3&gt;$E13)
        ),
        IF($H13&gt;=TIME(0,0,0), "Type in next cell", 0),
        IF($H13&gt;=TIME(0,0,0), "Type in next cell",
            IF($H13&gt;=0, 0,
                IF(NOT(OR($C13="Monday", $C13="Tuesday",$C13="Wednesday",$C13="Thursday",$C13="Friday")), 0, 0)
            )
        )
    )),
"Type in next cell"))</f>
        <v>0</v>
      </c>
      <c r="H13" s="11">
        <v>0</v>
      </c>
      <c r="I13" s="11">
        <v>0</v>
      </c>
      <c r="J13" s="11">
        <v>0</v>
      </c>
      <c r="K13" s="27" t="str">
        <f t="shared" si="3"/>
        <v>00:00</v>
      </c>
      <c r="L13" s="27" t="str">
        <f>IF(F13="N","0:00",IF(
OR(
AND(Masterdata!$B$4&lt;&gt;DATE(1900,1,0),Masterdata!$B$4&lt;$E13),
AND(Masterdata!$B$3&lt;&gt;DATE(1900,1,0),Masterdata!$B$3&gt;$E13)
),
"0:00",
IF(
$H13&gt;TIME(0,0,0),
IF(
NOT(OR($C13="Monday", $C13="Tuesday",$C13="Wednesday",$C13="Thursday",$C13="Friday")),
TEXT($H13,"[tt]:mm"),
IF($H13-$W$9&gt;=0,TEXT($H13-$W$9,"[tt]:mm"),"-"&amp;TEXT(ABS($H13-$W$9),"[tt]:mm"))
),
IF(
NOT(OR($C13="Monday", $C13="Tuesday",$C13="Wednesday",$C13="Thursday",$C13="Friday")),
IF($J13-$I13&gt;=0,TEXT($J13-$I13,"[tt]:mm"),"-"&amp;TEXT(ABS($J13-$I13),"[tt]:mm")),
IFERROR(
IF($G13-$W$9=0,
IF($G13-$W$9&gt;=0,TEXT($G13-$W$9,"[tt]:mm"),"-"&amp;TEXT(ABS($G13-$W$9),"[tt]:mm")),
IF($J13-$I13&gt;=0,TEXT($J13-$I13,"[tt]:mm"),"-"&amp;TEXT(ABS($J13-$I13),"[tt]:mm"))
),
IF(
$J13-$I13-$W$9&gt;=0,
TEXT($J13-$I13-$W$9,"[tt]:mm"),
"-"&amp;TEXT(ABS($J13-$I13-$W$9),"[tt]:mm")
)
)
)
)
))</f>
        <v>0:00</v>
      </c>
      <c r="M13" s="73" t="str">
        <f t="shared" si="4"/>
        <v>0</v>
      </c>
      <c r="N13" s="25" t="str">
        <f t="shared" si="5"/>
        <v>0:</v>
      </c>
      <c r="O13" s="56" t="str">
        <f t="shared" si="6"/>
        <v>0</v>
      </c>
      <c r="P13" s="57">
        <f t="shared" si="7"/>
        <v>0</v>
      </c>
      <c r="Q13" s="31">
        <f t="shared" si="8"/>
        <v>0</v>
      </c>
      <c r="R13" s="100"/>
      <c r="S13" s="100"/>
      <c r="T13" s="30"/>
      <c r="U13" s="30"/>
      <c r="V13" s="30"/>
      <c r="W13" s="76"/>
      <c r="X13" s="30"/>
      <c r="Y13" s="30"/>
      <c r="Z13" s="30"/>
      <c r="AA13" s="30"/>
      <c r="AB13" s="30"/>
      <c r="AC13" s="30"/>
      <c r="AD13" s="30"/>
      <c r="AE13" s="30"/>
      <c r="AF13" s="30"/>
      <c r="AG13" s="30"/>
      <c r="AH13" s="30"/>
      <c r="AI13" s="30"/>
      <c r="AJ13" s="30"/>
      <c r="AK13" s="30"/>
      <c r="AL13" s="30"/>
      <c r="AM13" s="30"/>
      <c r="AN13" s="30"/>
      <c r="AO13" s="30"/>
      <c r="AP13" s="30"/>
      <c r="AQ13" s="30"/>
      <c r="AR13" s="30"/>
    </row>
    <row r="14" spans="1:44" ht="15.75" x14ac:dyDescent="0.25">
      <c r="A14" s="7">
        <f t="shared" si="1"/>
        <v>49</v>
      </c>
      <c r="B14" s="8">
        <f t="shared" si="9"/>
        <v>45998</v>
      </c>
      <c r="C14" s="9" t="str" cm="1">
        <f t="array" ref="C14">_xlfn.XLOOKUP(E14,Masterdata!$B$31:$B$44,Masterdata!$A$31:$A$44,_xlfn.SWITCH(WEEKDAY($D14, 2), 1, "Monday", 2, "Tuesday", 3, "Wednesday", 4, "Thursday", 5, "Friday", 6, "Saturday", 7, "Sunday"),0)</f>
        <v>Sunday</v>
      </c>
      <c r="D14" s="30">
        <f t="shared" si="0"/>
        <v>8</v>
      </c>
      <c r="E14" s="72">
        <f t="shared" si="2"/>
        <v>45998</v>
      </c>
      <c r="F14" s="10" t="s">
        <v>18</v>
      </c>
      <c r="G14" s="12">
        <f>IF(AND(F14="N",NOT(OR($C14="Monday", $C14="Tuesday",$C14="Wednesday",$C14="Thursday",$C14="Friday"))),0,IFERROR(
    IF($F14="N", $W$9,
        IF(OR(
            AND(Masterdata!$B$4&lt;&gt;DATE(1900,1,0), Masterdata!$B$4&lt;$E14),
            AND(Masterdata!$B$3&lt;&gt;DATE(1900,1,0), Masterdata!$B$3&gt;$E14)
        ),
        IF($H14&gt;=TIME(0,0,0), "Type in next cell", 0),
        IF($H14&gt;=TIME(0,0,0), "Type in next cell",
            IF($H14&gt;=0, 0,
                IF(NOT(OR($C14="Monday", $C14="Tuesday",$C14="Wednesday",$C14="Thursday",$C14="Friday")), 0, 0)
            )
        )
    )),
"Type in next cell"))</f>
        <v>0</v>
      </c>
      <c r="H14" s="11">
        <v>0</v>
      </c>
      <c r="I14" s="11">
        <v>0</v>
      </c>
      <c r="J14" s="11">
        <v>0</v>
      </c>
      <c r="K14" s="27" t="str">
        <f t="shared" si="3"/>
        <v>00:00</v>
      </c>
      <c r="L14" s="27" t="str">
        <f>IF(F14="N","0:00",IF(
OR(
AND(Masterdata!$B$4&lt;&gt;DATE(1900,1,0),Masterdata!$B$4&lt;$E14),
AND(Masterdata!$B$3&lt;&gt;DATE(1900,1,0),Masterdata!$B$3&gt;$E14)
),
"0:00",
IF(
$H14&gt;TIME(0,0,0),
IF(
NOT(OR($C14="Monday", $C14="Tuesday",$C14="Wednesday",$C14="Thursday",$C14="Friday")),
TEXT($H14,"[tt]:mm"),
IF($H14-$W$9&gt;=0,TEXT($H14-$W$9,"[tt]:mm"),"-"&amp;TEXT(ABS($H14-$W$9),"[tt]:mm"))
),
IF(
NOT(OR($C14="Monday", $C14="Tuesday",$C14="Wednesday",$C14="Thursday",$C14="Friday")),
IF($J14-$I14&gt;=0,TEXT($J14-$I14,"[tt]:mm"),"-"&amp;TEXT(ABS($J14-$I14),"[tt]:mm")),
IFERROR(
IF($G14-$W$9=0,
IF($G14-$W$9&gt;=0,TEXT($G14-$W$9,"[tt]:mm"),"-"&amp;TEXT(ABS($G14-$W$9),"[tt]:mm")),
IF($J14-$I14&gt;=0,TEXT($J14-$I14,"[tt]:mm"),"-"&amp;TEXT(ABS($J14-$I14),"[tt]:mm"))
),
IF(
$J14-$I14-$W$9&gt;=0,
TEXT($J14-$I14-$W$9,"[tt]:mm"),
"-"&amp;TEXT(ABS($J14-$I14-$W$9),"[tt]:mm")
)
)
)
)
))</f>
        <v>0:00</v>
      </c>
      <c r="M14" s="73" t="str">
        <f t="shared" si="4"/>
        <v>0</v>
      </c>
      <c r="N14" s="25" t="str">
        <f t="shared" si="5"/>
        <v>0:</v>
      </c>
      <c r="O14" s="56" t="str">
        <f t="shared" si="6"/>
        <v>0</v>
      </c>
      <c r="P14" s="57">
        <f>O14/60</f>
        <v>0</v>
      </c>
      <c r="Q14" s="31">
        <f>IF(M14="-",N14-P14,N14+P14)</f>
        <v>0</v>
      </c>
      <c r="R14" s="100"/>
      <c r="S14" s="10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44" ht="15.75" x14ac:dyDescent="0.25">
      <c r="A15" s="7">
        <f t="shared" si="1"/>
        <v>50</v>
      </c>
      <c r="B15" s="8">
        <f t="shared" si="9"/>
        <v>45999</v>
      </c>
      <c r="C15" s="9" t="str" cm="1">
        <f t="array" ref="C15">_xlfn.XLOOKUP(E15,Masterdata!$B$31:$B$44,Masterdata!$A$31:$A$44,_xlfn.SWITCH(WEEKDAY($D15, 2), 1, "Monday", 2, "Tuesday", 3, "Wednesday", 4, "Thursday", 5, "Friday", 6, "Saturday", 7, "Sunday"),0)</f>
        <v>Monday</v>
      </c>
      <c r="D15" s="30">
        <f t="shared" si="0"/>
        <v>2</v>
      </c>
      <c r="E15" s="72">
        <f t="shared" si="2"/>
        <v>45999</v>
      </c>
      <c r="F15" s="10" t="s">
        <v>18</v>
      </c>
      <c r="G15" s="12">
        <f>IF(AND(F15="N",NOT(OR($C15="Monday", $C15="Tuesday",$C15="Wednesday",$C15="Thursday",$C15="Friday"))),0,IFERROR(
    IF($F15="N", $W$9,
        IF(OR(
            AND(Masterdata!$B$4&lt;&gt;DATE(1900,1,0), Masterdata!$B$4&lt;$E15),
            AND(Masterdata!$B$3&lt;&gt;DATE(1900,1,0), Masterdata!$B$3&gt;$E15)
        ),
        IF($H15&gt;=TIME(0,0,0), "Type in next cell", 0),
        IF($H15&gt;=TIME(0,0,0), "Type in next cell",
            IF($H15&gt;=0, 0,
                IF(NOT(OR($C15="Monday", $C15="Tuesday",$C15="Wednesday",$C15="Thursday",$C15="Friday")), 0, 0)
            )
        )
    )),
"Type in next cell"))</f>
        <v>0.30833333333333335</v>
      </c>
      <c r="H15" s="11">
        <v>0</v>
      </c>
      <c r="I15" s="11">
        <v>0</v>
      </c>
      <c r="J15" s="11">
        <v>0</v>
      </c>
      <c r="K15" s="27" t="str">
        <f t="shared" si="3"/>
        <v>00:00</v>
      </c>
      <c r="L15" s="27" t="str">
        <f>IF(F15="N","0:00",IF(
OR(
AND(Masterdata!$B$4&lt;&gt;DATE(1900,1,0),Masterdata!$B$4&lt;$E15),
AND(Masterdata!$B$3&lt;&gt;DATE(1900,1,0),Masterdata!$B$3&gt;$E15)
),
"0:00",
IF(
$H15&gt;TIME(0,0,0),
IF(
NOT(OR($C15="Monday", $C15="Tuesday",$C15="Wednesday",$C15="Thursday",$C15="Friday")),
TEXT($H15,"[tt]:mm"),
IF($H15-$W$9&gt;=0,TEXT($H15-$W$9,"[tt]:mm"),"-"&amp;TEXT(ABS($H15-$W$9),"[tt]:mm"))
),
IF(
NOT(OR($C15="Monday", $C15="Tuesday",$C15="Wednesday",$C15="Thursday",$C15="Friday")),
IF($J15-$I15&gt;=0,TEXT($J15-$I15,"[tt]:mm"),"-"&amp;TEXT(ABS($J15-$I15),"[tt]:mm")),
IFERROR(
IF($G15-$W$9=0,
IF($G15-$W$9&gt;=0,TEXT($G15-$W$9,"[tt]:mm"),"-"&amp;TEXT(ABS($G15-$W$9),"[tt]:mm")),
IF($J15-$I15&gt;=0,TEXT($J15-$I15,"[tt]:mm"),"-"&amp;TEXT(ABS($J15-$I15),"[tt]:mm"))
),
IF(
$J15-$I15-$W$9&gt;=0,
TEXT($J15-$I15-$W$9,"[tt]:mm"),
"-"&amp;TEXT(ABS($J15-$I15-$W$9),"[tt]:mm")
)
)
)
)
))</f>
        <v>0:00</v>
      </c>
      <c r="M15" s="73" t="str">
        <f t="shared" si="4"/>
        <v>0</v>
      </c>
      <c r="N15" s="25" t="str">
        <f t="shared" si="5"/>
        <v>0:</v>
      </c>
      <c r="O15" s="56" t="str">
        <f t="shared" si="6"/>
        <v>0</v>
      </c>
      <c r="P15" s="57">
        <f t="shared" ref="P15:P38" si="10">O15/60</f>
        <v>0</v>
      </c>
      <c r="Q15" s="31">
        <f t="shared" ref="Q15:Q19" si="11">IF(M15="-",N15-P15,N15+P15)</f>
        <v>0</v>
      </c>
      <c r="R15" s="100"/>
      <c r="S15" s="100"/>
      <c r="T15" s="30" t="s">
        <v>32</v>
      </c>
      <c r="U15" s="30" t="s">
        <v>33</v>
      </c>
      <c r="V15" s="30" t="s">
        <v>34</v>
      </c>
      <c r="W15" s="31">
        <f>W10-W13</f>
        <v>160.33000000000001</v>
      </c>
      <c r="X15" s="30"/>
      <c r="Y15" s="30"/>
      <c r="Z15" s="30"/>
      <c r="AA15" s="30"/>
      <c r="AB15" s="30"/>
      <c r="AC15" s="30"/>
      <c r="AD15" s="30"/>
      <c r="AE15" s="30"/>
      <c r="AF15" s="30"/>
      <c r="AG15" s="30"/>
      <c r="AH15" s="30"/>
      <c r="AI15" s="30"/>
      <c r="AJ15" s="30"/>
      <c r="AK15" s="30"/>
      <c r="AL15" s="30"/>
      <c r="AM15" s="30"/>
      <c r="AN15" s="30"/>
      <c r="AO15" s="30"/>
      <c r="AP15" s="30"/>
      <c r="AQ15" s="30"/>
      <c r="AR15" s="30"/>
    </row>
    <row r="16" spans="1:44" ht="15.75" x14ac:dyDescent="0.25">
      <c r="A16" s="7">
        <f t="shared" si="1"/>
        <v>50</v>
      </c>
      <c r="B16" s="8">
        <f t="shared" si="9"/>
        <v>46000</v>
      </c>
      <c r="C16" s="9" t="str" cm="1">
        <f t="array" ref="C16">_xlfn.XLOOKUP(E16,Masterdata!$B$31:$B$44,Masterdata!$A$31:$A$44,_xlfn.SWITCH(WEEKDAY($D16, 2), 1, "Monday", 2, "Tuesday", 3, "Wednesday", 4, "Thursday", 5, "Friday", 6, "Saturday", 7, "Sunday"),0)</f>
        <v>Tuesday</v>
      </c>
      <c r="D16" s="30">
        <f t="shared" si="0"/>
        <v>3</v>
      </c>
      <c r="E16" s="72">
        <f t="shared" si="2"/>
        <v>46000</v>
      </c>
      <c r="F16" s="10" t="s">
        <v>18</v>
      </c>
      <c r="G16" s="12">
        <f>IF(AND(F16="N",NOT(OR($C16="Monday", $C16="Tuesday",$C16="Wednesday",$C16="Thursday",$C16="Friday"))),0,IFERROR(
    IF($F16="N", $W$9,
        IF(OR(
            AND(Masterdata!$B$4&lt;&gt;DATE(1900,1,0), Masterdata!$B$4&lt;$E16),
            AND(Masterdata!$B$3&lt;&gt;DATE(1900,1,0), Masterdata!$B$3&gt;$E16)
        ),
        IF($H16&gt;=TIME(0,0,0), "Type in next cell", 0),
        IF($H16&gt;=TIME(0,0,0), "Type in next cell",
            IF($H16&gt;=0, 0,
                IF(NOT(OR($C16="Monday", $C16="Tuesday",$C16="Wednesday",$C16="Thursday",$C16="Friday")), 0, 0)
            )
        )
    )),
"Type in next cell"))</f>
        <v>0.30833333333333335</v>
      </c>
      <c r="H16" s="11">
        <v>0</v>
      </c>
      <c r="I16" s="11">
        <v>0</v>
      </c>
      <c r="J16" s="11">
        <v>0</v>
      </c>
      <c r="K16" s="27" t="str">
        <f t="shared" si="3"/>
        <v>00:00</v>
      </c>
      <c r="L16" s="27" t="str">
        <f>IF(F16="N","0:00",IF(
OR(
AND(Masterdata!$B$4&lt;&gt;DATE(1900,1,0),Masterdata!$B$4&lt;$E16),
AND(Masterdata!$B$3&lt;&gt;DATE(1900,1,0),Masterdata!$B$3&gt;$E16)
),
"0:00",
IF(
$H16&gt;TIME(0,0,0),
IF(
NOT(OR($C16="Monday", $C16="Tuesday",$C16="Wednesday",$C16="Thursday",$C16="Friday")),
TEXT($H16,"[tt]:mm"),
IF($H16-$W$9&gt;=0,TEXT($H16-$W$9,"[tt]:mm"),"-"&amp;TEXT(ABS($H16-$W$9),"[tt]:mm"))
),
IF(
NOT(OR($C16="Monday", $C16="Tuesday",$C16="Wednesday",$C16="Thursday",$C16="Friday")),
IF($J16-$I16&gt;=0,TEXT($J16-$I16,"[tt]:mm"),"-"&amp;TEXT(ABS($J16-$I16),"[tt]:mm")),
IFERROR(
IF($G16-$W$9=0,
IF($G16-$W$9&gt;=0,TEXT($G16-$W$9,"[tt]:mm"),"-"&amp;TEXT(ABS($G16-$W$9),"[tt]:mm")),
IF($J16-$I16&gt;=0,TEXT($J16-$I16,"[tt]:mm"),"-"&amp;TEXT(ABS($J16-$I16),"[tt]:mm"))
),
IF(
$J16-$I16-$W$9&gt;=0,
TEXT($J16-$I16-$W$9,"[tt]:mm"),
"-"&amp;TEXT(ABS($J16-$I16-$W$9),"[tt]:mm")
)
)
)
)
))</f>
        <v>0:00</v>
      </c>
      <c r="M16" s="73" t="str">
        <f t="shared" si="4"/>
        <v>0</v>
      </c>
      <c r="N16" s="25" t="str">
        <f t="shared" si="5"/>
        <v>0:</v>
      </c>
      <c r="O16" s="56" t="str">
        <f t="shared" si="6"/>
        <v>0</v>
      </c>
      <c r="P16" s="57">
        <f t="shared" si="10"/>
        <v>0</v>
      </c>
      <c r="Q16" s="31">
        <f t="shared" si="11"/>
        <v>0</v>
      </c>
      <c r="R16" s="100"/>
      <c r="S16" s="100"/>
      <c r="T16" s="30" t="s">
        <v>35</v>
      </c>
      <c r="U16" s="30" t="s">
        <v>36</v>
      </c>
      <c r="V16" s="30" t="s">
        <v>37</v>
      </c>
      <c r="W16" s="31" t="e">
        <f>SUM(#REF!)</f>
        <v>#REF!</v>
      </c>
      <c r="X16" s="30"/>
      <c r="Y16" s="30"/>
      <c r="Z16" s="30"/>
      <c r="AA16" s="30"/>
      <c r="AB16" s="30"/>
      <c r="AC16" s="30"/>
      <c r="AD16" s="30"/>
      <c r="AE16" s="30"/>
      <c r="AF16" s="30"/>
      <c r="AG16" s="30"/>
      <c r="AH16" s="30"/>
      <c r="AI16" s="30"/>
      <c r="AJ16" s="30"/>
      <c r="AK16" s="30"/>
      <c r="AL16" s="30"/>
      <c r="AM16" s="30"/>
      <c r="AN16" s="30"/>
      <c r="AO16" s="30"/>
      <c r="AP16" s="30"/>
      <c r="AQ16" s="30"/>
      <c r="AR16" s="30"/>
    </row>
    <row r="17" spans="1:44" ht="15.75" x14ac:dyDescent="0.25">
      <c r="A17" s="7">
        <f t="shared" si="1"/>
        <v>50</v>
      </c>
      <c r="B17" s="8">
        <f t="shared" si="9"/>
        <v>46001</v>
      </c>
      <c r="C17" s="9" t="str" cm="1">
        <f t="array" ref="C17">_xlfn.XLOOKUP(E17,Masterdata!$B$31:$B$44,Masterdata!$A$31:$A$44,_xlfn.SWITCH(WEEKDAY($D17, 2), 1, "Monday", 2, "Tuesday", 3, "Wednesday", 4, "Thursday", 5, "Friday", 6, "Saturday", 7, "Sunday"),0)</f>
        <v>Wednesday</v>
      </c>
      <c r="D17" s="30">
        <f t="shared" si="0"/>
        <v>4</v>
      </c>
      <c r="E17" s="72">
        <f t="shared" si="2"/>
        <v>46001</v>
      </c>
      <c r="F17" s="10" t="s">
        <v>18</v>
      </c>
      <c r="G17" s="12">
        <f>IF(AND(F17="N",NOT(OR($C17="Monday", $C17="Tuesday",$C17="Wednesday",$C17="Thursday",$C17="Friday"))),0,IFERROR(
    IF($F17="N", $W$9,
        IF(OR(
            AND(Masterdata!$B$4&lt;&gt;DATE(1900,1,0), Masterdata!$B$4&lt;$E17),
            AND(Masterdata!$B$3&lt;&gt;DATE(1900,1,0), Masterdata!$B$3&gt;$E17)
        ),
        IF($H17&gt;=TIME(0,0,0), "Type in next cell", 0),
        IF($H17&gt;=TIME(0,0,0), "Type in next cell",
            IF($H17&gt;=0, 0,
                IF(NOT(OR($C17="Monday", $C17="Tuesday",$C17="Wednesday",$C17="Thursday",$C17="Friday")), 0, 0)
            )
        )
    )),
"Type in next cell"))</f>
        <v>0.30833333333333335</v>
      </c>
      <c r="H17" s="11">
        <v>0</v>
      </c>
      <c r="I17" s="11">
        <v>0</v>
      </c>
      <c r="J17" s="11">
        <v>0</v>
      </c>
      <c r="K17" s="27" t="str">
        <f t="shared" si="3"/>
        <v>00:00</v>
      </c>
      <c r="L17" s="27" t="str">
        <f>IF(F17="N","0:00",IF(
OR(
AND(Masterdata!$B$4&lt;&gt;DATE(1900,1,0),Masterdata!$B$4&lt;$E17),
AND(Masterdata!$B$3&lt;&gt;DATE(1900,1,0),Masterdata!$B$3&gt;$E17)
),
"0:00",
IF(
$H17&gt;TIME(0,0,0),
IF(
NOT(OR($C17="Monday", $C17="Tuesday",$C17="Wednesday",$C17="Thursday",$C17="Friday")),
TEXT($H17,"[tt]:mm"),
IF($H17-$W$9&gt;=0,TEXT($H17-$W$9,"[tt]:mm"),"-"&amp;TEXT(ABS($H17-$W$9),"[tt]:mm"))
),
IF(
NOT(OR($C17="Monday", $C17="Tuesday",$C17="Wednesday",$C17="Thursday",$C17="Friday")),
IF($J17-$I17&gt;=0,TEXT($J17-$I17,"[tt]:mm"),"-"&amp;TEXT(ABS($J17-$I17),"[tt]:mm")),
IFERROR(
IF($G17-$W$9=0,
IF($G17-$W$9&gt;=0,TEXT($G17-$W$9,"[tt]:mm"),"-"&amp;TEXT(ABS($G17-$W$9),"[tt]:mm")),
IF($J17-$I17&gt;=0,TEXT($J17-$I17,"[tt]:mm"),"-"&amp;TEXT(ABS($J17-$I17),"[tt]:mm"))
),
IF(
$J17-$I17-$W$9&gt;=0,
TEXT($J17-$I17-$W$9,"[tt]:mm"),
"-"&amp;TEXT(ABS($J17-$I17-$W$9),"[tt]:mm")
)
)
)
)
))</f>
        <v>0:00</v>
      </c>
      <c r="M17" s="73" t="str">
        <f t="shared" si="4"/>
        <v>0</v>
      </c>
      <c r="N17" s="25" t="str">
        <f t="shared" si="5"/>
        <v>0:</v>
      </c>
      <c r="O17" s="56" t="str">
        <f t="shared" si="6"/>
        <v>0</v>
      </c>
      <c r="P17" s="57">
        <f t="shared" si="10"/>
        <v>0</v>
      </c>
      <c r="Q17" s="31">
        <f t="shared" si="11"/>
        <v>0</v>
      </c>
      <c r="R17" s="100"/>
      <c r="S17" s="100"/>
      <c r="T17" s="30" t="s">
        <v>19</v>
      </c>
      <c r="U17" s="30" t="s">
        <v>38</v>
      </c>
      <c r="V17" s="30" t="s">
        <v>39</v>
      </c>
      <c r="W17" s="31" t="e">
        <f>W15-W16</f>
        <v>#REF!</v>
      </c>
      <c r="X17" s="30"/>
      <c r="Y17" s="30"/>
      <c r="Z17" s="30"/>
      <c r="AA17" s="30"/>
      <c r="AB17" s="30"/>
      <c r="AC17" s="30"/>
      <c r="AD17" s="30"/>
      <c r="AE17" s="30"/>
      <c r="AF17" s="30"/>
      <c r="AG17" s="30"/>
      <c r="AH17" s="30"/>
      <c r="AI17" s="30"/>
      <c r="AJ17" s="30"/>
      <c r="AK17" s="30"/>
      <c r="AL17" s="30"/>
      <c r="AM17" s="30"/>
      <c r="AN17" s="30"/>
      <c r="AO17" s="30"/>
      <c r="AP17" s="30"/>
      <c r="AQ17" s="30"/>
      <c r="AR17" s="30"/>
    </row>
    <row r="18" spans="1:44" ht="15.75" x14ac:dyDescent="0.25">
      <c r="A18" s="7">
        <f t="shared" si="1"/>
        <v>50</v>
      </c>
      <c r="B18" s="8">
        <f t="shared" si="9"/>
        <v>46002</v>
      </c>
      <c r="C18" s="9" t="str" cm="1">
        <f t="array" ref="C18">_xlfn.XLOOKUP(E18,Masterdata!$B$31:$B$44,Masterdata!$A$31:$A$44,_xlfn.SWITCH(WEEKDAY($D18, 2), 1, "Monday", 2, "Tuesday", 3, "Wednesday", 4, "Thursday", 5, "Friday", 6, "Saturday", 7, "Sunday"),0)</f>
        <v>Thursday</v>
      </c>
      <c r="D18" s="30">
        <f t="shared" si="0"/>
        <v>5</v>
      </c>
      <c r="E18" s="72">
        <f t="shared" si="2"/>
        <v>46002</v>
      </c>
      <c r="F18" s="10" t="s">
        <v>18</v>
      </c>
      <c r="G18" s="12">
        <f>IF(AND(F18="N",NOT(OR($C18="Monday", $C18="Tuesday",$C18="Wednesday",$C18="Thursday",$C18="Friday"))),0,IFERROR(
    IF($F18="N", $W$9,
        IF(OR(
            AND(Masterdata!$B$4&lt;&gt;DATE(1900,1,0), Masterdata!$B$4&lt;$E18),
            AND(Masterdata!$B$3&lt;&gt;DATE(1900,1,0), Masterdata!$B$3&gt;$E18)
        ),
        IF($H18&gt;=TIME(0,0,0), "Type in next cell", 0),
        IF($H18&gt;=TIME(0,0,0), "Type in next cell",
            IF($H18&gt;=0, 0,
                IF(NOT(OR($C18="Monday", $C18="Tuesday",$C18="Wednesday",$C18="Thursday",$C18="Friday")), 0, 0)
            )
        )
    )),
"Type in next cell"))</f>
        <v>0.30833333333333335</v>
      </c>
      <c r="H18" s="11">
        <v>0</v>
      </c>
      <c r="I18" s="11">
        <v>0</v>
      </c>
      <c r="J18" s="11">
        <v>0</v>
      </c>
      <c r="K18" s="27" t="str">
        <f t="shared" si="3"/>
        <v>00:00</v>
      </c>
      <c r="L18" s="27" t="str">
        <f>IF(F18="N","0:00",IF(
OR(
AND(Masterdata!$B$4&lt;&gt;DATE(1900,1,0),Masterdata!$B$4&lt;$E18),
AND(Masterdata!$B$3&lt;&gt;DATE(1900,1,0),Masterdata!$B$3&gt;$E18)
),
"0:00",
IF(
$H18&gt;TIME(0,0,0),
IF(
NOT(OR($C18="Monday", $C18="Tuesday",$C18="Wednesday",$C18="Thursday",$C18="Friday")),
TEXT($H18,"[tt]:mm"),
IF($H18-$W$9&gt;=0,TEXT($H18-$W$9,"[tt]:mm"),"-"&amp;TEXT(ABS($H18-$W$9),"[tt]:mm"))
),
IF(
NOT(OR($C18="Monday", $C18="Tuesday",$C18="Wednesday",$C18="Thursday",$C18="Friday")),
IF($J18-$I18&gt;=0,TEXT($J18-$I18,"[tt]:mm"),"-"&amp;TEXT(ABS($J18-$I18),"[tt]:mm")),
IFERROR(
IF($G18-$W$9=0,
IF($G18-$W$9&gt;=0,TEXT($G18-$W$9,"[tt]:mm"),"-"&amp;TEXT(ABS($G18-$W$9),"[tt]:mm")),
IF($J18-$I18&gt;=0,TEXT($J18-$I18,"[tt]:mm"),"-"&amp;TEXT(ABS($J18-$I18),"[tt]:mm"))
),
IF(
$J18-$I18-$W$9&gt;=0,
TEXT($J18-$I18-$W$9,"[tt]:mm"),
"-"&amp;TEXT(ABS($J18-$I18-$W$9),"[tt]:mm")
)
)
)
)
))</f>
        <v>0:00</v>
      </c>
      <c r="M18" s="73" t="str">
        <f t="shared" si="4"/>
        <v>0</v>
      </c>
      <c r="N18" s="25" t="str">
        <f t="shared" si="5"/>
        <v>0:</v>
      </c>
      <c r="O18" s="56" t="str">
        <f t="shared" si="6"/>
        <v>0</v>
      </c>
      <c r="P18" s="57">
        <f t="shared" si="10"/>
        <v>0</v>
      </c>
      <c r="Q18" s="31">
        <f t="shared" si="11"/>
        <v>0</v>
      </c>
      <c r="R18" s="100"/>
      <c r="S18" s="100"/>
      <c r="T18" s="30"/>
      <c r="U18" s="30"/>
      <c r="V18" s="72"/>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ht="15.75" x14ac:dyDescent="0.25">
      <c r="A19" s="7">
        <f t="shared" si="1"/>
        <v>50</v>
      </c>
      <c r="B19" s="8">
        <f t="shared" si="9"/>
        <v>46003</v>
      </c>
      <c r="C19" s="9" t="str" cm="1">
        <f t="array" ref="C19">_xlfn.XLOOKUP(E19,Masterdata!$B$31:$B$44,Masterdata!$A$31:$A$44,_xlfn.SWITCH(WEEKDAY($D19, 2), 1, "Monday", 2, "Tuesday", 3, "Wednesday", 4, "Thursday", 5, "Friday", 6, "Saturday", 7, "Sunday"),0)</f>
        <v>Friday</v>
      </c>
      <c r="D19" s="30">
        <f t="shared" si="0"/>
        <v>6</v>
      </c>
      <c r="E19" s="72">
        <f t="shared" si="2"/>
        <v>46003</v>
      </c>
      <c r="F19" s="10" t="s">
        <v>18</v>
      </c>
      <c r="G19" s="12">
        <f>IF(AND(F19="N",NOT(OR($C19="Monday", $C19="Tuesday",$C19="Wednesday",$C19="Thursday",$C19="Friday"))),0,IFERROR(
    IF($F19="N", $W$9,
        IF(OR(
            AND(Masterdata!$B$4&lt;&gt;DATE(1900,1,0), Masterdata!$B$4&lt;$E19),
            AND(Masterdata!$B$3&lt;&gt;DATE(1900,1,0), Masterdata!$B$3&gt;$E19)
        ),
        IF($H19&gt;=TIME(0,0,0), "Type in next cell", 0),
        IF($H19&gt;=TIME(0,0,0), "Type in next cell",
            IF($H19&gt;=0, 0,
                IF(NOT(OR($C19="Monday", $C19="Tuesday",$C19="Wednesday",$C19="Thursday",$C19="Friday")), 0, 0)
            )
        )
    )),
"Type in next cell"))</f>
        <v>0.30833333333333335</v>
      </c>
      <c r="H19" s="11">
        <v>0</v>
      </c>
      <c r="I19" s="11">
        <v>0</v>
      </c>
      <c r="J19" s="11">
        <v>0</v>
      </c>
      <c r="K19" s="27" t="str">
        <f t="shared" si="3"/>
        <v>00:00</v>
      </c>
      <c r="L19" s="27" t="str">
        <f>IF(F19="N","0:00",IF(
OR(
AND(Masterdata!$B$4&lt;&gt;DATE(1900,1,0),Masterdata!$B$4&lt;$E19),
AND(Masterdata!$B$3&lt;&gt;DATE(1900,1,0),Masterdata!$B$3&gt;$E19)
),
"0:00",
IF(
$H19&gt;TIME(0,0,0),
IF(
NOT(OR($C19="Monday", $C19="Tuesday",$C19="Wednesday",$C19="Thursday",$C19="Friday")),
TEXT($H19,"[tt]:mm"),
IF($H19-$W$9&gt;=0,TEXT($H19-$W$9,"[tt]:mm"),"-"&amp;TEXT(ABS($H19-$W$9),"[tt]:mm"))
),
IF(
NOT(OR($C19="Monday", $C19="Tuesday",$C19="Wednesday",$C19="Thursday",$C19="Friday")),
IF($J19-$I19&gt;=0,TEXT($J19-$I19,"[tt]:mm"),"-"&amp;TEXT(ABS($J19-$I19),"[tt]:mm")),
IFERROR(
IF($G19-$W$9=0,
IF($G19-$W$9&gt;=0,TEXT($G19-$W$9,"[tt]:mm"),"-"&amp;TEXT(ABS($G19-$W$9),"[tt]:mm")),
IF($J19-$I19&gt;=0,TEXT($J19-$I19,"[tt]:mm"),"-"&amp;TEXT(ABS($J19-$I19),"[tt]:mm"))
),
IF(
$J19-$I19-$W$9&gt;=0,
TEXT($J19-$I19-$W$9,"[tt]:mm"),
"-"&amp;TEXT(ABS($J19-$I19-$W$9),"[tt]:mm")
)
)
)
)
))</f>
        <v>0:00</v>
      </c>
      <c r="M19" s="73" t="str">
        <f t="shared" si="4"/>
        <v>0</v>
      </c>
      <c r="N19" s="25" t="str">
        <f t="shared" si="5"/>
        <v>0:</v>
      </c>
      <c r="O19" s="56" t="str">
        <f t="shared" si="6"/>
        <v>0</v>
      </c>
      <c r="P19" s="57">
        <f t="shared" si="10"/>
        <v>0</v>
      </c>
      <c r="Q19" s="31">
        <f t="shared" si="11"/>
        <v>0</v>
      </c>
      <c r="R19" s="100"/>
      <c r="S19" s="10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ht="15.75" x14ac:dyDescent="0.25">
      <c r="A20" s="7">
        <f t="shared" si="1"/>
        <v>50</v>
      </c>
      <c r="B20" s="8">
        <f t="shared" si="9"/>
        <v>46004</v>
      </c>
      <c r="C20" s="9" t="str" cm="1">
        <f t="array" ref="C20">_xlfn.XLOOKUP(E20,Masterdata!$B$31:$B$44,Masterdata!$A$31:$A$44,_xlfn.SWITCH(WEEKDAY($D20, 2), 1, "Monday", 2, "Tuesday", 3, "Wednesday", 4, "Thursday", 5, "Friday", 6, "Saturday", 7, "Sunday"),0)</f>
        <v>Saturday</v>
      </c>
      <c r="D20" s="30">
        <f t="shared" si="0"/>
        <v>7</v>
      </c>
      <c r="E20" s="72">
        <f t="shared" si="2"/>
        <v>46004</v>
      </c>
      <c r="F20" s="10" t="s">
        <v>18</v>
      </c>
      <c r="G20" s="12">
        <f>IF(AND(F20="N",NOT(OR($C20="Monday", $C20="Tuesday",$C20="Wednesday",$C20="Thursday",$C20="Friday"))),0,IFERROR(
    IF($F20="N", $W$9,
        IF(OR(
            AND(Masterdata!$B$4&lt;&gt;DATE(1900,1,0), Masterdata!$B$4&lt;$E20),
            AND(Masterdata!$B$3&lt;&gt;DATE(1900,1,0), Masterdata!$B$3&gt;$E20)
        ),
        IF($H20&gt;=TIME(0,0,0), "Type in next cell", 0),
        IF($H20&gt;=TIME(0,0,0), "Type in next cell",
            IF($H20&gt;=0, 0,
                IF(NOT(OR($C20="Monday", $C20="Tuesday",$C20="Wednesday",$C20="Thursday",$C20="Friday")), 0, 0)
            )
        )
    )),
"Type in next cell"))</f>
        <v>0</v>
      </c>
      <c r="H20" s="11">
        <v>0</v>
      </c>
      <c r="I20" s="11">
        <v>0</v>
      </c>
      <c r="J20" s="11">
        <v>0</v>
      </c>
      <c r="K20" s="27" t="str">
        <f t="shared" si="3"/>
        <v>00:00</v>
      </c>
      <c r="L20" s="27" t="str">
        <f>IF(F20="N","0:00",IF(
OR(
AND(Masterdata!$B$4&lt;&gt;DATE(1900,1,0),Masterdata!$B$4&lt;$E20),
AND(Masterdata!$B$3&lt;&gt;DATE(1900,1,0),Masterdata!$B$3&gt;$E20)
),
"0:00",
IF(
$H20&gt;TIME(0,0,0),
IF(
NOT(OR($C20="Monday", $C20="Tuesday",$C20="Wednesday",$C20="Thursday",$C20="Friday")),
TEXT($H20,"[tt]:mm"),
IF($H20-$W$9&gt;=0,TEXT($H20-$W$9,"[tt]:mm"),"-"&amp;TEXT(ABS($H20-$W$9),"[tt]:mm"))
),
IF(
NOT(OR($C20="Monday", $C20="Tuesday",$C20="Wednesday",$C20="Thursday",$C20="Friday")),
IF($J20-$I20&gt;=0,TEXT($J20-$I20,"[tt]:mm"),"-"&amp;TEXT(ABS($J20-$I20),"[tt]:mm")),
IFERROR(
IF($G20-$W$9=0,
IF($G20-$W$9&gt;=0,TEXT($G20-$W$9,"[tt]:mm"),"-"&amp;TEXT(ABS($G20-$W$9),"[tt]:mm")),
IF($J20-$I20&gt;=0,TEXT($J20-$I20,"[tt]:mm"),"-"&amp;TEXT(ABS($J20-$I20),"[tt]:mm"))
),
IF(
$J20-$I20-$W$9&gt;=0,
TEXT($J20-$I20-$W$9,"[tt]:mm"),
"-"&amp;TEXT(ABS($J20-$I20-$W$9),"[tt]:mm")
)
)
)
)
))</f>
        <v>0:00</v>
      </c>
      <c r="M20" s="73" t="str">
        <f>LEFT(L20,1)</f>
        <v>0</v>
      </c>
      <c r="N20" s="25" t="str">
        <f t="shared" si="5"/>
        <v>0:</v>
      </c>
      <c r="O20" s="56" t="str">
        <f t="shared" si="6"/>
        <v>0</v>
      </c>
      <c r="P20" s="57">
        <f t="shared" si="10"/>
        <v>0</v>
      </c>
      <c r="Q20" s="31">
        <f>IF(M20="-",N20-P20,N20+P20)</f>
        <v>0</v>
      </c>
      <c r="R20" s="100"/>
      <c r="S20" s="10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15.75" x14ac:dyDescent="0.25">
      <c r="A21" s="7">
        <f t="shared" si="1"/>
        <v>50</v>
      </c>
      <c r="B21" s="8">
        <f t="shared" si="9"/>
        <v>46005</v>
      </c>
      <c r="C21" s="9" t="str" cm="1">
        <f t="array" ref="C21">_xlfn.XLOOKUP(E21,Masterdata!$B$31:$B$44,Masterdata!$A$31:$A$44,_xlfn.SWITCH(WEEKDAY($D21, 2), 1, "Monday", 2, "Tuesday", 3, "Wednesday", 4, "Thursday", 5, "Friday", 6, "Saturday", 7, "Sunday"),0)</f>
        <v>Sunday</v>
      </c>
      <c r="D21" s="30">
        <f t="shared" si="0"/>
        <v>8</v>
      </c>
      <c r="E21" s="72">
        <f t="shared" si="2"/>
        <v>46005</v>
      </c>
      <c r="F21" s="10" t="s">
        <v>18</v>
      </c>
      <c r="G21" s="12">
        <f>IF(AND(F21="N",NOT(OR($C21="Monday", $C21="Tuesday",$C21="Wednesday",$C21="Thursday",$C21="Friday"))),0,IFERROR(
    IF($F21="N", $W$9,
        IF(OR(
            AND(Masterdata!$B$4&lt;&gt;DATE(1900,1,0), Masterdata!$B$4&lt;$E21),
            AND(Masterdata!$B$3&lt;&gt;DATE(1900,1,0), Masterdata!$B$3&gt;$E21)
        ),
        IF($H21&gt;=TIME(0,0,0), "Type in next cell", 0),
        IF($H21&gt;=TIME(0,0,0), "Type in next cell",
            IF($H21&gt;=0, 0,
                IF(NOT(OR($C21="Monday", $C21="Tuesday",$C21="Wednesday",$C21="Thursday",$C21="Friday")), 0, 0)
            )
        )
    )),
"Type in next cell"))</f>
        <v>0</v>
      </c>
      <c r="H21" s="11">
        <v>0</v>
      </c>
      <c r="I21" s="11">
        <v>0</v>
      </c>
      <c r="J21" s="11">
        <v>0</v>
      </c>
      <c r="K21" s="27" t="str">
        <f t="shared" si="3"/>
        <v>00:00</v>
      </c>
      <c r="L21" s="27" t="str">
        <f>IF(F21="N","0:00",IF(
OR(
AND(Masterdata!$B$4&lt;&gt;DATE(1900,1,0),Masterdata!$B$4&lt;$E21),
AND(Masterdata!$B$3&lt;&gt;DATE(1900,1,0),Masterdata!$B$3&gt;$E21)
),
"0:00",
IF(
$H21&gt;TIME(0,0,0),
IF(
NOT(OR($C21="Monday", $C21="Tuesday",$C21="Wednesday",$C21="Thursday",$C21="Friday")),
TEXT($H21,"[tt]:mm"),
IF($H21-$W$9&gt;=0,TEXT($H21-$W$9,"[tt]:mm"),"-"&amp;TEXT(ABS($H21-$W$9),"[tt]:mm"))
),
IF(
NOT(OR($C21="Monday", $C21="Tuesday",$C21="Wednesday",$C21="Thursday",$C21="Friday")),
IF($J21-$I21&gt;=0,TEXT($J21-$I21,"[tt]:mm"),"-"&amp;TEXT(ABS($J21-$I21),"[tt]:mm")),
IFERROR(
IF($G21-$W$9=0,
IF($G21-$W$9&gt;=0,TEXT($G21-$W$9,"[tt]:mm"),"-"&amp;TEXT(ABS($G21-$W$9),"[tt]:mm")),
IF($J21-$I21&gt;=0,TEXT($J21-$I21,"[tt]:mm"),"-"&amp;TEXT(ABS($J21-$I21),"[tt]:mm"))
),
IF(
$J21-$I21-$W$9&gt;=0,
TEXT($J21-$I21-$W$9,"[tt]:mm"),
"-"&amp;TEXT(ABS($J21-$I21-$W$9),"[tt]:mm")
)
)
)
)
))</f>
        <v>0:00</v>
      </c>
      <c r="M21" s="73" t="str">
        <f t="shared" ref="M21:M38" si="12">LEFT(L21,1)</f>
        <v>0</v>
      </c>
      <c r="N21" s="25" t="str">
        <f t="shared" si="5"/>
        <v>0:</v>
      </c>
      <c r="O21" s="56" t="str">
        <f t="shared" si="6"/>
        <v>0</v>
      </c>
      <c r="P21" s="57">
        <f t="shared" si="10"/>
        <v>0</v>
      </c>
      <c r="Q21" s="31">
        <f t="shared" ref="Q21:Q38" si="13">IF(M21="-",N21-P21,N21+P21)</f>
        <v>0</v>
      </c>
      <c r="R21" s="100"/>
      <c r="S21" s="10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ht="15.75" x14ac:dyDescent="0.25">
      <c r="A22" s="7">
        <f t="shared" si="1"/>
        <v>51</v>
      </c>
      <c r="B22" s="8">
        <f t="shared" si="9"/>
        <v>46006</v>
      </c>
      <c r="C22" s="9" t="str" cm="1">
        <f t="array" ref="C22">_xlfn.XLOOKUP(E22,Masterdata!$B$31:$B$44,Masterdata!$A$31:$A$44,_xlfn.SWITCH(WEEKDAY($D22, 2), 1, "Monday", 2, "Tuesday", 3, "Wednesday", 4, "Thursday", 5, "Friday", 6, "Saturday", 7, "Sunday"),0)</f>
        <v>Monday</v>
      </c>
      <c r="D22" s="30">
        <f t="shared" si="0"/>
        <v>2</v>
      </c>
      <c r="E22" s="72">
        <f t="shared" si="2"/>
        <v>46006</v>
      </c>
      <c r="F22" s="10" t="s">
        <v>18</v>
      </c>
      <c r="G22" s="12">
        <f>IF(AND(F22="N",NOT(OR($C22="Monday", $C22="Tuesday",$C22="Wednesday",$C22="Thursday",$C22="Friday"))),0,IFERROR(
    IF($F22="N", $W$9,
        IF(OR(
            AND(Masterdata!$B$4&lt;&gt;DATE(1900,1,0), Masterdata!$B$4&lt;$E22),
            AND(Masterdata!$B$3&lt;&gt;DATE(1900,1,0), Masterdata!$B$3&gt;$E22)
        ),
        IF($H22&gt;=TIME(0,0,0), "Type in next cell", 0),
        IF($H22&gt;=TIME(0,0,0), "Type in next cell",
            IF($H22&gt;=0, 0,
                IF(NOT(OR($C22="Monday", $C22="Tuesday",$C22="Wednesday",$C22="Thursday",$C22="Friday")), 0, 0)
            )
        )
    )),
"Type in next cell"))</f>
        <v>0.30833333333333335</v>
      </c>
      <c r="H22" s="11">
        <v>0</v>
      </c>
      <c r="I22" s="11">
        <v>0</v>
      </c>
      <c r="J22" s="11">
        <v>0</v>
      </c>
      <c r="K22" s="27" t="str">
        <f t="shared" si="3"/>
        <v>00:00</v>
      </c>
      <c r="L22" s="27" t="str">
        <f>IF(F22="N","0:00",IF(
OR(
AND(Masterdata!$B$4&lt;&gt;DATE(1900,1,0),Masterdata!$B$4&lt;$E22),
AND(Masterdata!$B$3&lt;&gt;DATE(1900,1,0),Masterdata!$B$3&gt;$E22)
),
"0:00",
IF(
$H22&gt;TIME(0,0,0),
IF(
NOT(OR($C22="Monday", $C22="Tuesday",$C22="Wednesday",$C22="Thursday",$C22="Friday")),
TEXT($H22,"[tt]:mm"),
IF($H22-$W$9&gt;=0,TEXT($H22-$W$9,"[tt]:mm"),"-"&amp;TEXT(ABS($H22-$W$9),"[tt]:mm"))
),
IF(
NOT(OR($C22="Monday", $C22="Tuesday",$C22="Wednesday",$C22="Thursday",$C22="Friday")),
IF($J22-$I22&gt;=0,TEXT($J22-$I22,"[tt]:mm"),"-"&amp;TEXT(ABS($J22-$I22),"[tt]:mm")),
IFERROR(
IF($G22-$W$9=0,
IF($G22-$W$9&gt;=0,TEXT($G22-$W$9,"[tt]:mm"),"-"&amp;TEXT(ABS($G22-$W$9),"[tt]:mm")),
IF($J22-$I22&gt;=0,TEXT($J22-$I22,"[tt]:mm"),"-"&amp;TEXT(ABS($J22-$I22),"[tt]:mm"))
),
IF(
$J22-$I22-$W$9&gt;=0,
TEXT($J22-$I22-$W$9,"[tt]:mm"),
"-"&amp;TEXT(ABS($J22-$I22-$W$9),"[tt]:mm")
)
)
)
)
))</f>
        <v>0:00</v>
      </c>
      <c r="M22" s="73" t="str">
        <f t="shared" si="12"/>
        <v>0</v>
      </c>
      <c r="N22" s="25" t="str">
        <f t="shared" si="5"/>
        <v>0:</v>
      </c>
      <c r="O22" s="56" t="str">
        <f t="shared" si="6"/>
        <v>0</v>
      </c>
      <c r="P22" s="57">
        <f t="shared" si="10"/>
        <v>0</v>
      </c>
      <c r="Q22" s="31">
        <f t="shared" si="13"/>
        <v>0</v>
      </c>
      <c r="R22" s="100"/>
      <c r="S22" s="10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ht="15.75" x14ac:dyDescent="0.25">
      <c r="A23" s="7">
        <f t="shared" si="1"/>
        <v>51</v>
      </c>
      <c r="B23" s="8">
        <f t="shared" si="9"/>
        <v>46007</v>
      </c>
      <c r="C23" s="9" t="str" cm="1">
        <f t="array" ref="C23">_xlfn.XLOOKUP(E23,Masterdata!$B$31:$B$44,Masterdata!$A$31:$A$44,_xlfn.SWITCH(WEEKDAY($D23, 2), 1, "Monday", 2, "Tuesday", 3, "Wednesday", 4, "Thursday", 5, "Friday", 6, "Saturday", 7, "Sunday"),0)</f>
        <v>Tuesday</v>
      </c>
      <c r="D23" s="30">
        <f t="shared" si="0"/>
        <v>3</v>
      </c>
      <c r="E23" s="72">
        <f t="shared" si="2"/>
        <v>46007</v>
      </c>
      <c r="F23" s="10" t="s">
        <v>18</v>
      </c>
      <c r="G23" s="12">
        <f>IF(AND(F23="N",NOT(OR($C23="Monday", $C23="Tuesday",$C23="Wednesday",$C23="Thursday",$C23="Friday"))),0,IFERROR(
    IF($F23="N", $W$9,
        IF(OR(
            AND(Masterdata!$B$4&lt;&gt;DATE(1900,1,0), Masterdata!$B$4&lt;$E23),
            AND(Masterdata!$B$3&lt;&gt;DATE(1900,1,0), Masterdata!$B$3&gt;$E23)
        ),
        IF($H23&gt;=TIME(0,0,0), "Type in next cell", 0),
        IF($H23&gt;=TIME(0,0,0), "Type in next cell",
            IF($H23&gt;=0, 0,
                IF(NOT(OR($C23="Monday", $C23="Tuesday",$C23="Wednesday",$C23="Thursday",$C23="Friday")), 0, 0)
            )
        )
    )),
"Type in next cell"))</f>
        <v>0.30833333333333335</v>
      </c>
      <c r="H23" s="11">
        <v>0</v>
      </c>
      <c r="I23" s="11">
        <v>0</v>
      </c>
      <c r="J23" s="11">
        <v>0</v>
      </c>
      <c r="K23" s="27" t="str">
        <f t="shared" si="3"/>
        <v>00:00</v>
      </c>
      <c r="L23" s="27" t="str">
        <f>IF(F23="N","0:00",IF(
OR(
AND(Masterdata!$B$4&lt;&gt;DATE(1900,1,0),Masterdata!$B$4&lt;$E23),
AND(Masterdata!$B$3&lt;&gt;DATE(1900,1,0),Masterdata!$B$3&gt;$E23)
),
"0:00",
IF(
$H23&gt;TIME(0,0,0),
IF(
NOT(OR($C23="Monday", $C23="Tuesday",$C23="Wednesday",$C23="Thursday",$C23="Friday")),
TEXT($H23,"[tt]:mm"),
IF($H23-$W$9&gt;=0,TEXT($H23-$W$9,"[tt]:mm"),"-"&amp;TEXT(ABS($H23-$W$9),"[tt]:mm"))
),
IF(
NOT(OR($C23="Monday", $C23="Tuesday",$C23="Wednesday",$C23="Thursday",$C23="Friday")),
IF($J23-$I23&gt;=0,TEXT($J23-$I23,"[tt]:mm"),"-"&amp;TEXT(ABS($J23-$I23),"[tt]:mm")),
IFERROR(
IF($G23-$W$9=0,
IF($G23-$W$9&gt;=0,TEXT($G23-$W$9,"[tt]:mm"),"-"&amp;TEXT(ABS($G23-$W$9),"[tt]:mm")),
IF($J23-$I23&gt;=0,TEXT($J23-$I23,"[tt]:mm"),"-"&amp;TEXT(ABS($J23-$I23),"[tt]:mm"))
),
IF(
$J23-$I23-$W$9&gt;=0,
TEXT($J23-$I23-$W$9,"[tt]:mm"),
"-"&amp;TEXT(ABS($J23-$I23-$W$9),"[tt]:mm")
)
)
)
)
))</f>
        <v>0:00</v>
      </c>
      <c r="M23" s="73" t="str">
        <f t="shared" si="12"/>
        <v>0</v>
      </c>
      <c r="N23" s="25" t="str">
        <f t="shared" si="5"/>
        <v>0:</v>
      </c>
      <c r="O23" s="56" t="str">
        <f t="shared" si="6"/>
        <v>0</v>
      </c>
      <c r="P23" s="57">
        <f t="shared" si="10"/>
        <v>0</v>
      </c>
      <c r="Q23" s="31">
        <f t="shared" si="13"/>
        <v>0</v>
      </c>
      <c r="R23" s="100"/>
      <c r="S23" s="10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15.75" x14ac:dyDescent="0.25">
      <c r="A24" s="7">
        <f t="shared" si="1"/>
        <v>51</v>
      </c>
      <c r="B24" s="8">
        <f t="shared" si="9"/>
        <v>46008</v>
      </c>
      <c r="C24" s="9" t="str" cm="1">
        <f t="array" ref="C24">_xlfn.XLOOKUP(E24,Masterdata!$B$31:$B$44,Masterdata!$A$31:$A$44,_xlfn.SWITCH(WEEKDAY($D24, 2), 1, "Monday", 2, "Tuesday", 3, "Wednesday", 4, "Thursday", 5, "Friday", 6, "Saturday", 7, "Sunday"),0)</f>
        <v>Wednesday</v>
      </c>
      <c r="D24" s="30">
        <f t="shared" si="0"/>
        <v>4</v>
      </c>
      <c r="E24" s="72">
        <f t="shared" si="2"/>
        <v>46008</v>
      </c>
      <c r="F24" s="10" t="s">
        <v>18</v>
      </c>
      <c r="G24" s="12">
        <f>IF(AND(F24="N",NOT(OR($C24="Monday", $C24="Tuesday",$C24="Wednesday",$C24="Thursday",$C24="Friday"))),0,IFERROR(
    IF($F24="N", $W$9,
        IF(OR(
            AND(Masterdata!$B$4&lt;&gt;DATE(1900,1,0), Masterdata!$B$4&lt;$E24),
            AND(Masterdata!$B$3&lt;&gt;DATE(1900,1,0), Masterdata!$B$3&gt;$E24)
        ),
        IF($H24&gt;=TIME(0,0,0), "Type in next cell", 0),
        IF($H24&gt;=TIME(0,0,0), "Type in next cell",
            IF($H24&gt;=0, 0,
                IF(NOT(OR($C24="Monday", $C24="Tuesday",$C24="Wednesday",$C24="Thursday",$C24="Friday")), 0, 0)
            )
        )
    )),
"Type in next cell"))</f>
        <v>0.30833333333333335</v>
      </c>
      <c r="H24" s="11">
        <v>0</v>
      </c>
      <c r="I24" s="11">
        <v>0</v>
      </c>
      <c r="J24" s="11">
        <v>0</v>
      </c>
      <c r="K24" s="27" t="str">
        <f t="shared" si="3"/>
        <v>00:00</v>
      </c>
      <c r="L24" s="27" t="str">
        <f>IF(F24="N","0:00",IF(
OR(
AND(Masterdata!$B$4&lt;&gt;DATE(1900,1,0),Masterdata!$B$4&lt;$E24),
AND(Masterdata!$B$3&lt;&gt;DATE(1900,1,0),Masterdata!$B$3&gt;$E24)
),
"0:00",
IF(
$H24&gt;TIME(0,0,0),
IF(
NOT(OR($C24="Monday", $C24="Tuesday",$C24="Wednesday",$C24="Thursday",$C24="Friday")),
TEXT($H24,"[tt]:mm"),
IF($H24-$W$9&gt;=0,TEXT($H24-$W$9,"[tt]:mm"),"-"&amp;TEXT(ABS($H24-$W$9),"[tt]:mm"))
),
IF(
NOT(OR($C24="Monday", $C24="Tuesday",$C24="Wednesday",$C24="Thursday",$C24="Friday")),
IF($J24-$I24&gt;=0,TEXT($J24-$I24,"[tt]:mm"),"-"&amp;TEXT(ABS($J24-$I24),"[tt]:mm")),
IFERROR(
IF($G24-$W$9=0,
IF($G24-$W$9&gt;=0,TEXT($G24-$W$9,"[tt]:mm"),"-"&amp;TEXT(ABS($G24-$W$9),"[tt]:mm")),
IF($J24-$I24&gt;=0,TEXT($J24-$I24,"[tt]:mm"),"-"&amp;TEXT(ABS($J24-$I24),"[tt]:mm"))
),
IF(
$J24-$I24-$W$9&gt;=0,
TEXT($J24-$I24-$W$9,"[tt]:mm"),
"-"&amp;TEXT(ABS($J24-$I24-$W$9),"[tt]:mm")
)
)
)
)
))</f>
        <v>0:00</v>
      </c>
      <c r="M24" s="73" t="str">
        <f t="shared" si="12"/>
        <v>0</v>
      </c>
      <c r="N24" s="25" t="str">
        <f t="shared" si="5"/>
        <v>0:</v>
      </c>
      <c r="O24" s="56" t="str">
        <f t="shared" si="6"/>
        <v>0</v>
      </c>
      <c r="P24" s="57">
        <f t="shared" si="10"/>
        <v>0</v>
      </c>
      <c r="Q24" s="31">
        <f t="shared" si="13"/>
        <v>0</v>
      </c>
      <c r="R24" s="100"/>
      <c r="S24" s="10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ht="15.75" x14ac:dyDescent="0.25">
      <c r="A25" s="7">
        <f t="shared" si="1"/>
        <v>51</v>
      </c>
      <c r="B25" s="8">
        <f t="shared" si="9"/>
        <v>46009</v>
      </c>
      <c r="C25" s="9" t="str" cm="1">
        <f t="array" ref="C25">_xlfn.XLOOKUP(E25,Masterdata!$B$31:$B$44,Masterdata!$A$31:$A$44,_xlfn.SWITCH(WEEKDAY($D25, 2), 1, "Monday", 2, "Tuesday", 3, "Wednesday", 4, "Thursday", 5, "Friday", 6, "Saturday", 7, "Sunday"),0)</f>
        <v>Thursday</v>
      </c>
      <c r="D25" s="30">
        <f t="shared" si="0"/>
        <v>5</v>
      </c>
      <c r="E25" s="72">
        <f t="shared" si="2"/>
        <v>46009</v>
      </c>
      <c r="F25" s="10" t="s">
        <v>18</v>
      </c>
      <c r="G25" s="12">
        <f>IF(AND(F25="N",NOT(OR($C25="Monday", $C25="Tuesday",$C25="Wednesday",$C25="Thursday",$C25="Friday"))),0,IFERROR(
    IF($F25="N", $W$9,
        IF(OR(
            AND(Masterdata!$B$4&lt;&gt;DATE(1900,1,0), Masterdata!$B$4&lt;$E25),
            AND(Masterdata!$B$3&lt;&gt;DATE(1900,1,0), Masterdata!$B$3&gt;$E25)
        ),
        IF($H25&gt;=TIME(0,0,0), "Type in next cell", 0),
        IF($H25&gt;=TIME(0,0,0), "Type in next cell",
            IF($H25&gt;=0, 0,
                IF(NOT(OR($C25="Monday", $C25="Tuesday",$C25="Wednesday",$C25="Thursday",$C25="Friday")), 0, 0)
            )
        )
    )),
"Type in next cell"))</f>
        <v>0.30833333333333335</v>
      </c>
      <c r="H25" s="11">
        <v>0</v>
      </c>
      <c r="I25" s="11">
        <v>0</v>
      </c>
      <c r="J25" s="11">
        <v>0</v>
      </c>
      <c r="K25" s="27" t="str">
        <f t="shared" si="3"/>
        <v>00:00</v>
      </c>
      <c r="L25" s="27" t="str">
        <f>IF(F25="N","0:00",IF(
OR(
AND(Masterdata!$B$4&lt;&gt;DATE(1900,1,0),Masterdata!$B$4&lt;$E25),
AND(Masterdata!$B$3&lt;&gt;DATE(1900,1,0),Masterdata!$B$3&gt;$E25)
),
"0:00",
IF(
$H25&gt;TIME(0,0,0),
IF(
NOT(OR($C25="Monday", $C25="Tuesday",$C25="Wednesday",$C25="Thursday",$C25="Friday")),
TEXT($H25,"[tt]:mm"),
IF($H25-$W$9&gt;=0,TEXT($H25-$W$9,"[tt]:mm"),"-"&amp;TEXT(ABS($H25-$W$9),"[tt]:mm"))
),
IF(
NOT(OR($C25="Monday", $C25="Tuesday",$C25="Wednesday",$C25="Thursday",$C25="Friday")),
IF($J25-$I25&gt;=0,TEXT($J25-$I25,"[tt]:mm"),"-"&amp;TEXT(ABS($J25-$I25),"[tt]:mm")),
IFERROR(
IF($G25-$W$9=0,
IF($G25-$W$9&gt;=0,TEXT($G25-$W$9,"[tt]:mm"),"-"&amp;TEXT(ABS($G25-$W$9),"[tt]:mm")),
IF($J25-$I25&gt;=0,TEXT($J25-$I25,"[tt]:mm"),"-"&amp;TEXT(ABS($J25-$I25),"[tt]:mm"))
),
IF(
$J25-$I25-$W$9&gt;=0,
TEXT($J25-$I25-$W$9,"[tt]:mm"),
"-"&amp;TEXT(ABS($J25-$I25-$W$9),"[tt]:mm")
)
)
)
)
))</f>
        <v>0:00</v>
      </c>
      <c r="M25" s="73" t="str">
        <f t="shared" si="12"/>
        <v>0</v>
      </c>
      <c r="N25" s="25" t="str">
        <f t="shared" si="5"/>
        <v>0:</v>
      </c>
      <c r="O25" s="56" t="str">
        <f t="shared" si="6"/>
        <v>0</v>
      </c>
      <c r="P25" s="57">
        <f t="shared" si="10"/>
        <v>0</v>
      </c>
      <c r="Q25" s="31">
        <f t="shared" si="13"/>
        <v>0</v>
      </c>
      <c r="R25" s="100"/>
      <c r="S25" s="10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ht="15.75" x14ac:dyDescent="0.25">
      <c r="A26" s="7">
        <f t="shared" si="1"/>
        <v>51</v>
      </c>
      <c r="B26" s="8">
        <f t="shared" si="9"/>
        <v>46010</v>
      </c>
      <c r="C26" s="9" t="str" cm="1">
        <f t="array" ref="C26">_xlfn.XLOOKUP(E26,Masterdata!$B$31:$B$44,Masterdata!$A$31:$A$44,_xlfn.SWITCH(WEEKDAY($D26, 2), 1, "Monday", 2, "Tuesday", 3, "Wednesday", 4, "Thursday", 5, "Friday", 6, "Saturday", 7, "Sunday"),0)</f>
        <v>Friday</v>
      </c>
      <c r="D26" s="30">
        <f t="shared" si="0"/>
        <v>6</v>
      </c>
      <c r="E26" s="72">
        <f t="shared" si="2"/>
        <v>46010</v>
      </c>
      <c r="F26" s="10" t="s">
        <v>18</v>
      </c>
      <c r="G26" s="12">
        <f>IF(AND(F26="N",NOT(OR($C26="Monday", $C26="Tuesday",$C26="Wednesday",$C26="Thursday",$C26="Friday"))),0,IFERROR(
    IF($F26="N", $W$9,
        IF(OR(
            AND(Masterdata!$B$4&lt;&gt;DATE(1900,1,0), Masterdata!$B$4&lt;$E26),
            AND(Masterdata!$B$3&lt;&gt;DATE(1900,1,0), Masterdata!$B$3&gt;$E26)
        ),
        IF($H26&gt;=TIME(0,0,0), "Type in next cell", 0),
        IF($H26&gt;=TIME(0,0,0), "Type in next cell",
            IF($H26&gt;=0, 0,
                IF(NOT(OR($C26="Monday", $C26="Tuesday",$C26="Wednesday",$C26="Thursday",$C26="Friday")), 0, 0)
            )
        )
    )),
"Type in next cell"))</f>
        <v>0.30833333333333335</v>
      </c>
      <c r="H26" s="11">
        <v>0</v>
      </c>
      <c r="I26" s="11">
        <v>0</v>
      </c>
      <c r="J26" s="11">
        <v>0</v>
      </c>
      <c r="K26" s="27" t="str">
        <f t="shared" si="3"/>
        <v>00:00</v>
      </c>
      <c r="L26" s="27" t="str">
        <f>IF(F26="N","0:00",IF(
OR(
AND(Masterdata!$B$4&lt;&gt;DATE(1900,1,0),Masterdata!$B$4&lt;$E26),
AND(Masterdata!$B$3&lt;&gt;DATE(1900,1,0),Masterdata!$B$3&gt;$E26)
),
"0:00",
IF(
$H26&gt;TIME(0,0,0),
IF(
NOT(OR($C26="Monday", $C26="Tuesday",$C26="Wednesday",$C26="Thursday",$C26="Friday")),
TEXT($H26,"[tt]:mm"),
IF($H26-$W$9&gt;=0,TEXT($H26-$W$9,"[tt]:mm"),"-"&amp;TEXT(ABS($H26-$W$9),"[tt]:mm"))
),
IF(
NOT(OR($C26="Monday", $C26="Tuesday",$C26="Wednesday",$C26="Thursday",$C26="Friday")),
IF($J26-$I26&gt;=0,TEXT($J26-$I26,"[tt]:mm"),"-"&amp;TEXT(ABS($J26-$I26),"[tt]:mm")),
IFERROR(
IF($G26-$W$9=0,
IF($G26-$W$9&gt;=0,TEXT($G26-$W$9,"[tt]:mm"),"-"&amp;TEXT(ABS($G26-$W$9),"[tt]:mm")),
IF($J26-$I26&gt;=0,TEXT($J26-$I26,"[tt]:mm"),"-"&amp;TEXT(ABS($J26-$I26),"[tt]:mm"))
),
IF(
$J26-$I26-$W$9&gt;=0,
TEXT($J26-$I26-$W$9,"[tt]:mm"),
"-"&amp;TEXT(ABS($J26-$I26-$W$9),"[tt]:mm")
)
)
)
)
))</f>
        <v>0:00</v>
      </c>
      <c r="M26" s="73" t="str">
        <f t="shared" si="12"/>
        <v>0</v>
      </c>
      <c r="N26" s="25" t="str">
        <f t="shared" si="5"/>
        <v>0:</v>
      </c>
      <c r="O26" s="56" t="str">
        <f t="shared" si="6"/>
        <v>0</v>
      </c>
      <c r="P26" s="57">
        <f t="shared" si="10"/>
        <v>0</v>
      </c>
      <c r="Q26" s="31">
        <f t="shared" si="13"/>
        <v>0</v>
      </c>
      <c r="R26" s="100"/>
      <c r="S26" s="10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ht="15.75" x14ac:dyDescent="0.25">
      <c r="A27" s="7">
        <f t="shared" si="1"/>
        <v>51</v>
      </c>
      <c r="B27" s="8">
        <f t="shared" si="9"/>
        <v>46011</v>
      </c>
      <c r="C27" s="9" t="str" cm="1">
        <f t="array" ref="C27">_xlfn.XLOOKUP(E27,Masterdata!$B$31:$B$44,Masterdata!$A$31:$A$44,_xlfn.SWITCH(WEEKDAY($D27, 2), 1, "Monday", 2, "Tuesday", 3, "Wednesday", 4, "Thursday", 5, "Friday", 6, "Saturday", 7, "Sunday"),0)</f>
        <v>Saturday</v>
      </c>
      <c r="D27" s="30">
        <f t="shared" si="0"/>
        <v>7</v>
      </c>
      <c r="E27" s="72">
        <f t="shared" si="2"/>
        <v>46011</v>
      </c>
      <c r="F27" s="10" t="s">
        <v>18</v>
      </c>
      <c r="G27" s="12">
        <f>IF(AND(F27="N",NOT(OR($C27="Monday", $C27="Tuesday",$C27="Wednesday",$C27="Thursday",$C27="Friday"))),0,IFERROR(
    IF($F27="N", $W$9,
        IF(OR(
            AND(Masterdata!$B$4&lt;&gt;DATE(1900,1,0), Masterdata!$B$4&lt;$E27),
            AND(Masterdata!$B$3&lt;&gt;DATE(1900,1,0), Masterdata!$B$3&gt;$E27)
        ),
        IF($H27&gt;=TIME(0,0,0), "Type in next cell", 0),
        IF($H27&gt;=TIME(0,0,0), "Type in next cell",
            IF($H27&gt;=0, 0,
                IF(NOT(OR($C27="Monday", $C27="Tuesday",$C27="Wednesday",$C27="Thursday",$C27="Friday")), 0, 0)
            )
        )
    )),
"Type in next cell"))</f>
        <v>0</v>
      </c>
      <c r="H27" s="11">
        <v>0</v>
      </c>
      <c r="I27" s="11">
        <v>0</v>
      </c>
      <c r="J27" s="11">
        <v>0</v>
      </c>
      <c r="K27" s="27" t="str">
        <f t="shared" si="3"/>
        <v>00:00</v>
      </c>
      <c r="L27" s="27" t="str">
        <f>IF(F27="N","0:00",IF(
OR(
AND(Masterdata!$B$4&lt;&gt;DATE(1900,1,0),Masterdata!$B$4&lt;$E27),
AND(Masterdata!$B$3&lt;&gt;DATE(1900,1,0),Masterdata!$B$3&gt;$E27)
),
"0:00",
IF(
$H27&gt;TIME(0,0,0),
IF(
NOT(OR($C27="Monday", $C27="Tuesday",$C27="Wednesday",$C27="Thursday",$C27="Friday")),
TEXT($H27,"[tt]:mm"),
IF($H27-$W$9&gt;=0,TEXT($H27-$W$9,"[tt]:mm"),"-"&amp;TEXT(ABS($H27-$W$9),"[tt]:mm"))
),
IF(
NOT(OR($C27="Monday", $C27="Tuesday",$C27="Wednesday",$C27="Thursday",$C27="Friday")),
IF($J27-$I27&gt;=0,TEXT($J27-$I27,"[tt]:mm"),"-"&amp;TEXT(ABS($J27-$I27),"[tt]:mm")),
IFERROR(
IF($G27-$W$9=0,
IF($G27-$W$9&gt;=0,TEXT($G27-$W$9,"[tt]:mm"),"-"&amp;TEXT(ABS($G27-$W$9),"[tt]:mm")),
IF($J27-$I27&gt;=0,TEXT($J27-$I27,"[tt]:mm"),"-"&amp;TEXT(ABS($J27-$I27),"[tt]:mm"))
),
IF(
$J27-$I27-$W$9&gt;=0,
TEXT($J27-$I27-$W$9,"[tt]:mm"),
"-"&amp;TEXT(ABS($J27-$I27-$W$9),"[tt]:mm")
)
)
)
)
))</f>
        <v>0:00</v>
      </c>
      <c r="M27" s="73" t="str">
        <f t="shared" si="12"/>
        <v>0</v>
      </c>
      <c r="N27" s="25" t="str">
        <f t="shared" si="5"/>
        <v>0:</v>
      </c>
      <c r="O27" s="56" t="str">
        <f t="shared" si="6"/>
        <v>0</v>
      </c>
      <c r="P27" s="57">
        <f t="shared" si="10"/>
        <v>0</v>
      </c>
      <c r="Q27" s="31">
        <f t="shared" si="13"/>
        <v>0</v>
      </c>
      <c r="R27" s="100"/>
      <c r="S27" s="10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ht="15.75" x14ac:dyDescent="0.25">
      <c r="A28" s="7">
        <f t="shared" si="1"/>
        <v>51</v>
      </c>
      <c r="B28" s="8">
        <f t="shared" si="9"/>
        <v>46012</v>
      </c>
      <c r="C28" s="9" t="str" cm="1">
        <f t="array" ref="C28">_xlfn.XLOOKUP(E28,Masterdata!$B$31:$B$44,Masterdata!$A$31:$A$44,_xlfn.SWITCH(WEEKDAY($D28, 2), 1, "Monday", 2, "Tuesday", 3, "Wednesday", 4, "Thursday", 5, "Friday", 6, "Saturday", 7, "Sunday"),0)</f>
        <v>Sunday</v>
      </c>
      <c r="D28" s="30">
        <f t="shared" si="0"/>
        <v>8</v>
      </c>
      <c r="E28" s="72">
        <f t="shared" si="2"/>
        <v>46012</v>
      </c>
      <c r="F28" s="10" t="s">
        <v>18</v>
      </c>
      <c r="G28" s="12">
        <f>IF(AND(F28="N",NOT(OR($C28="Monday", $C28="Tuesday",$C28="Wednesday",$C28="Thursday",$C28="Friday"))),0,IFERROR(
    IF($F28="N", $W$9,
        IF(OR(
            AND(Masterdata!$B$4&lt;&gt;DATE(1900,1,0), Masterdata!$B$4&lt;$E28),
            AND(Masterdata!$B$3&lt;&gt;DATE(1900,1,0), Masterdata!$B$3&gt;$E28)
        ),
        IF($H28&gt;=TIME(0,0,0), "Type in next cell", 0),
        IF($H28&gt;=TIME(0,0,0), "Type in next cell",
            IF($H28&gt;=0, 0,
                IF(NOT(OR($C28="Monday", $C28="Tuesday",$C28="Wednesday",$C28="Thursday",$C28="Friday")), 0, 0)
            )
        )
    )),
"Type in next cell"))</f>
        <v>0</v>
      </c>
      <c r="H28" s="11">
        <v>0</v>
      </c>
      <c r="I28" s="11">
        <v>0</v>
      </c>
      <c r="J28" s="11">
        <v>0</v>
      </c>
      <c r="K28" s="27" t="str">
        <f t="shared" si="3"/>
        <v>00:00</v>
      </c>
      <c r="L28" s="27" t="str">
        <f>IF(F28="N","0:00",IF(
OR(
AND(Masterdata!$B$4&lt;&gt;DATE(1900,1,0),Masterdata!$B$4&lt;$E28),
AND(Masterdata!$B$3&lt;&gt;DATE(1900,1,0),Masterdata!$B$3&gt;$E28)
),
"0:00",
IF(
$H28&gt;TIME(0,0,0),
IF(
NOT(OR($C28="Monday", $C28="Tuesday",$C28="Wednesday",$C28="Thursday",$C28="Friday")),
TEXT($H28,"[tt]:mm"),
IF($H28-$W$9&gt;=0,TEXT($H28-$W$9,"[tt]:mm"),"-"&amp;TEXT(ABS($H28-$W$9),"[tt]:mm"))
),
IF(
NOT(OR($C28="Monday", $C28="Tuesday",$C28="Wednesday",$C28="Thursday",$C28="Friday")),
IF($J28-$I28&gt;=0,TEXT($J28-$I28,"[tt]:mm"),"-"&amp;TEXT(ABS($J28-$I28),"[tt]:mm")),
IFERROR(
IF($G28-$W$9=0,
IF($G28-$W$9&gt;=0,TEXT($G28-$W$9,"[tt]:mm"),"-"&amp;TEXT(ABS($G28-$W$9),"[tt]:mm")),
IF($J28-$I28&gt;=0,TEXT($J28-$I28,"[tt]:mm"),"-"&amp;TEXT(ABS($J28-$I28),"[tt]:mm"))
),
IF(
$J28-$I28-$W$9&gt;=0,
TEXT($J28-$I28-$W$9,"[tt]:mm"),
"-"&amp;TEXT(ABS($J28-$I28-$W$9),"[tt]:mm")
)
)
)
)
))</f>
        <v>0:00</v>
      </c>
      <c r="M28" s="73" t="str">
        <f t="shared" si="12"/>
        <v>0</v>
      </c>
      <c r="N28" s="25" t="str">
        <f t="shared" si="5"/>
        <v>0:</v>
      </c>
      <c r="O28" s="56" t="str">
        <f t="shared" si="6"/>
        <v>0</v>
      </c>
      <c r="P28" s="57">
        <f t="shared" si="10"/>
        <v>0</v>
      </c>
      <c r="Q28" s="31">
        <f t="shared" si="13"/>
        <v>0</v>
      </c>
      <c r="R28" s="100"/>
      <c r="S28" s="10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ht="15.75" x14ac:dyDescent="0.25">
      <c r="A29" s="7">
        <f t="shared" si="1"/>
        <v>52</v>
      </c>
      <c r="B29" s="8">
        <f t="shared" si="9"/>
        <v>46013</v>
      </c>
      <c r="C29" s="9" t="str" cm="1">
        <f t="array" ref="C29">_xlfn.XLOOKUP(E29,Masterdata!$B$31:$B$44,Masterdata!$A$31:$A$44,_xlfn.SWITCH(WEEKDAY($D29, 2), 1, "Monday", 2, "Tuesday", 3, "Wednesday", 4, "Thursday", 5, "Friday", 6, "Saturday", 7, "Sunday"),0)</f>
        <v>Monday</v>
      </c>
      <c r="D29" s="30">
        <f t="shared" si="0"/>
        <v>2</v>
      </c>
      <c r="E29" s="72">
        <f t="shared" si="2"/>
        <v>46013</v>
      </c>
      <c r="F29" s="10" t="s">
        <v>18</v>
      </c>
      <c r="G29" s="12">
        <f>IF(AND(F29="N",NOT(OR($C29="Monday", $C29="Tuesday",$C29="Wednesday",$C29="Thursday",$C29="Friday"))),0,IFERROR(
    IF($F29="N", $W$9,
        IF(OR(
            AND(Masterdata!$B$4&lt;&gt;DATE(1900,1,0), Masterdata!$B$4&lt;$E29),
            AND(Masterdata!$B$3&lt;&gt;DATE(1900,1,0), Masterdata!$B$3&gt;$E29)
        ),
        IF($H29&gt;=TIME(0,0,0), "Type in next cell", 0),
        IF($H29&gt;=TIME(0,0,0), "Type in next cell",
            IF($H29&gt;=0, 0,
                IF(NOT(OR($C29="Monday", $C29="Tuesday",$C29="Wednesday",$C29="Thursday",$C29="Friday")), 0, 0)
            )
        )
    )),
"Type in next cell"))</f>
        <v>0.30833333333333335</v>
      </c>
      <c r="H29" s="11">
        <v>0</v>
      </c>
      <c r="I29" s="11">
        <v>0</v>
      </c>
      <c r="J29" s="11">
        <v>0</v>
      </c>
      <c r="K29" s="27" t="str">
        <f t="shared" si="3"/>
        <v>00:00</v>
      </c>
      <c r="L29" s="27" t="str">
        <f>IF(F29="N","0:00",IF(
OR(
AND(Masterdata!$B$4&lt;&gt;DATE(1900,1,0),Masterdata!$B$4&lt;$E29),
AND(Masterdata!$B$3&lt;&gt;DATE(1900,1,0),Masterdata!$B$3&gt;$E29)
),
"0:00",
IF(
$H29&gt;TIME(0,0,0),
IF(
NOT(OR($C29="Monday", $C29="Tuesday",$C29="Wednesday",$C29="Thursday",$C29="Friday")),
TEXT($H29,"[tt]:mm"),
IF($H29-$W$9&gt;=0,TEXT($H29-$W$9,"[tt]:mm"),"-"&amp;TEXT(ABS($H29-$W$9),"[tt]:mm"))
),
IF(
NOT(OR($C29="Monday", $C29="Tuesday",$C29="Wednesday",$C29="Thursday",$C29="Friday")),
IF($J29-$I29&gt;=0,TEXT($J29-$I29,"[tt]:mm"),"-"&amp;TEXT(ABS($J29-$I29),"[tt]:mm")),
IFERROR(
IF($G29-$W$9=0,
IF($G29-$W$9&gt;=0,TEXT($G29-$W$9,"[tt]:mm"),"-"&amp;TEXT(ABS($G29-$W$9),"[tt]:mm")),
IF($J29-$I29&gt;=0,TEXT($J29-$I29,"[tt]:mm"),"-"&amp;TEXT(ABS($J29-$I29),"[tt]:mm"))
),
IF(
$J29-$I29-$W$9&gt;=0,
TEXT($J29-$I29-$W$9,"[tt]:mm"),
"-"&amp;TEXT(ABS($J29-$I29-$W$9),"[tt]:mm")
)
)
)
)
))</f>
        <v>0:00</v>
      </c>
      <c r="M29" s="73" t="str">
        <f t="shared" si="12"/>
        <v>0</v>
      </c>
      <c r="N29" s="25" t="str">
        <f t="shared" si="5"/>
        <v>0:</v>
      </c>
      <c r="O29" s="56" t="str">
        <f t="shared" si="6"/>
        <v>0</v>
      </c>
      <c r="P29" s="57">
        <f t="shared" si="10"/>
        <v>0</v>
      </c>
      <c r="Q29" s="31">
        <f t="shared" si="13"/>
        <v>0</v>
      </c>
      <c r="R29" s="100"/>
      <c r="S29" s="10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ht="15.75" x14ac:dyDescent="0.25">
      <c r="A30" s="7">
        <f t="shared" si="1"/>
        <v>52</v>
      </c>
      <c r="B30" s="8">
        <f t="shared" si="9"/>
        <v>46014</v>
      </c>
      <c r="C30" s="9" t="str" cm="1">
        <f t="array" ref="C30">_xlfn.XLOOKUP(E30,Masterdata!$B$31:$B$44,Masterdata!$A$31:$A$44,_xlfn.SWITCH(WEEKDAY($D30, 2), 1, "Monday", 2, "Tuesday", 3, "Wednesday", 4, "Thursday", 5, "Friday", 6, "Saturday", 7, "Sunday"),0)</f>
        <v>Tuesday</v>
      </c>
      <c r="D30" s="30">
        <f t="shared" si="0"/>
        <v>3</v>
      </c>
      <c r="E30" s="72">
        <f t="shared" si="2"/>
        <v>46014</v>
      </c>
      <c r="F30" s="10" t="s">
        <v>18</v>
      </c>
      <c r="G30" s="12">
        <f>IF(AND(F30="N",NOT(OR($C30="Monday", $C30="Tuesday",$C30="Wednesday",$C30="Thursday",$C30="Friday"))),0,IFERROR(
    IF($F30="N", $W$9,
        IF(OR(
            AND(Masterdata!$B$4&lt;&gt;DATE(1900,1,0), Masterdata!$B$4&lt;$E30),
            AND(Masterdata!$B$3&lt;&gt;DATE(1900,1,0), Masterdata!$B$3&gt;$E30)
        ),
        IF($H30&gt;=TIME(0,0,0), "Type in next cell", 0),
        IF($H30&gt;=TIME(0,0,0), "Type in next cell",
            IF($H30&gt;=0, 0,
                IF(NOT(OR($C30="Monday", $C30="Tuesday",$C30="Wednesday",$C30="Thursday",$C30="Friday")), 0, 0)
            )
        )
    )),
"Type in next cell"))</f>
        <v>0.30833333333333335</v>
      </c>
      <c r="H30" s="11">
        <v>0</v>
      </c>
      <c r="I30" s="11">
        <v>0</v>
      </c>
      <c r="J30" s="11">
        <v>0</v>
      </c>
      <c r="K30" s="27" t="str">
        <f t="shared" si="3"/>
        <v>00:00</v>
      </c>
      <c r="L30" s="27" t="str">
        <f>IF(F30="N","0:00",IF(
OR(
AND(Masterdata!$B$4&lt;&gt;DATE(1900,1,0),Masterdata!$B$4&lt;$E30),
AND(Masterdata!$B$3&lt;&gt;DATE(1900,1,0),Masterdata!$B$3&gt;$E30)
),
"0:00",
IF(
$H30&gt;TIME(0,0,0),
IF(
NOT(OR($C30="Monday", $C30="Tuesday",$C30="Wednesday",$C30="Thursday",$C30="Friday")),
TEXT($H30,"[tt]:mm"),
IF($H30-$W$9&gt;=0,TEXT($H30-$W$9,"[tt]:mm"),"-"&amp;TEXT(ABS($H30-$W$9),"[tt]:mm"))
),
IF(
NOT(OR($C30="Monday", $C30="Tuesday",$C30="Wednesday",$C30="Thursday",$C30="Friday")),
IF($J30-$I30&gt;=0,TEXT($J30-$I30,"[tt]:mm"),"-"&amp;TEXT(ABS($J30-$I30),"[tt]:mm")),
IFERROR(
IF($G30-$W$9=0,
IF($G30-$W$9&gt;=0,TEXT($G30-$W$9,"[tt]:mm"),"-"&amp;TEXT(ABS($G30-$W$9),"[tt]:mm")),
IF($J30-$I30&gt;=0,TEXT($J30-$I30,"[tt]:mm"),"-"&amp;TEXT(ABS($J30-$I30),"[tt]:mm"))
),
IF(
$J30-$I30-$W$9&gt;=0,
TEXT($J30-$I30-$W$9,"[tt]:mm"),
"-"&amp;TEXT(ABS($J30-$I30-$W$9),"[tt]:mm")
)
)
)
)
))</f>
        <v>0:00</v>
      </c>
      <c r="M30" s="73" t="str">
        <f t="shared" si="12"/>
        <v>0</v>
      </c>
      <c r="N30" s="25" t="str">
        <f t="shared" si="5"/>
        <v>0:</v>
      </c>
      <c r="O30" s="56" t="str">
        <f t="shared" si="6"/>
        <v>0</v>
      </c>
      <c r="P30" s="57">
        <f t="shared" si="10"/>
        <v>0</v>
      </c>
      <c r="Q30" s="31">
        <f t="shared" si="13"/>
        <v>0</v>
      </c>
      <c r="R30" s="100"/>
      <c r="S30" s="10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ht="15.75" x14ac:dyDescent="0.25">
      <c r="A31" s="7">
        <f t="shared" si="1"/>
        <v>52</v>
      </c>
      <c r="B31" s="8">
        <f t="shared" si="9"/>
        <v>46015</v>
      </c>
      <c r="C31" s="9" t="str" cm="1">
        <f t="array" ref="C31">_xlfn.XLOOKUP(E31,Masterdata!$B$31:$B$44,Masterdata!$A$31:$A$44,_xlfn.SWITCH(WEEKDAY($D31, 2), 1, "Monday", 2, "Tuesday", 3, "Wednesday", 4, "Thursday", 5, "Friday", 6, "Saturday", 7, "Sunday"),0)</f>
        <v>Christmas Eve</v>
      </c>
      <c r="D31" s="30">
        <f t="shared" si="0"/>
        <v>4</v>
      </c>
      <c r="E31" s="72">
        <f t="shared" si="2"/>
        <v>46015</v>
      </c>
      <c r="F31" s="10" t="s">
        <v>18</v>
      </c>
      <c r="G31" s="12">
        <f>IF(AND(F31="N",NOT(OR($C31="Monday", $C31="Tuesday",$C31="Wednesday",$C31="Thursday",$C31="Friday"))),0,IFERROR(
    IF($F31="N", $W$9,
        IF(OR(
            AND(Masterdata!$B$4&lt;&gt;DATE(1900,1,0), Masterdata!$B$4&lt;$E31),
            AND(Masterdata!$B$3&lt;&gt;DATE(1900,1,0), Masterdata!$B$3&gt;$E31)
        ),
        IF($H31&gt;=TIME(0,0,0), "Type in next cell", 0),
        IF($H31&gt;=TIME(0,0,0), "Type in next cell",
            IF($H31&gt;=0, 0,
                IF(NOT(OR($C31="Monday", $C31="Tuesday",$C31="Wednesday",$C31="Thursday",$C31="Friday")), 0, 0)
            )
        )
    )),
"Type in next cell"))</f>
        <v>0</v>
      </c>
      <c r="H31" s="11">
        <v>0</v>
      </c>
      <c r="I31" s="11">
        <v>0</v>
      </c>
      <c r="J31" s="11">
        <v>0</v>
      </c>
      <c r="K31" s="27" t="str">
        <f t="shared" si="3"/>
        <v>00:00</v>
      </c>
      <c r="L31" s="27" t="str">
        <f>IF(F31="N","0:00",IF(
OR(
AND(Masterdata!$B$4&lt;&gt;DATE(1900,1,0),Masterdata!$B$4&lt;$E31),
AND(Masterdata!$B$3&lt;&gt;DATE(1900,1,0),Masterdata!$B$3&gt;$E31)
),
"0:00",
IF(
$H31&gt;TIME(0,0,0),
IF(
NOT(OR($C31="Monday", $C31="Tuesday",$C31="Wednesday",$C31="Thursday",$C31="Friday")),
TEXT($H31,"[tt]:mm"),
IF($H31-$W$9&gt;=0,TEXT($H31-$W$9,"[tt]:mm"),"-"&amp;TEXT(ABS($H31-$W$9),"[tt]:mm"))
),
IF(
NOT(OR($C31="Monday", $C31="Tuesday",$C31="Wednesday",$C31="Thursday",$C31="Friday")),
IF($J31-$I31&gt;=0,TEXT($J31-$I31,"[tt]:mm"),"-"&amp;TEXT(ABS($J31-$I31),"[tt]:mm")),
IFERROR(
IF($G31-$W$9=0,
IF($G31-$W$9&gt;=0,TEXT($G31-$W$9,"[tt]:mm"),"-"&amp;TEXT(ABS($G31-$W$9),"[tt]:mm")),
IF($J31-$I31&gt;=0,TEXT($J31-$I31,"[tt]:mm"),"-"&amp;TEXT(ABS($J31-$I31),"[tt]:mm"))
),
IF(
$J31-$I31-$W$9&gt;=0,
TEXT($J31-$I31-$W$9,"[tt]:mm"),
"-"&amp;TEXT(ABS($J31-$I31-$W$9),"[tt]:mm")
)
)
)
)
))</f>
        <v>0:00</v>
      </c>
      <c r="M31" s="73" t="str">
        <f t="shared" si="12"/>
        <v>0</v>
      </c>
      <c r="N31" s="25" t="str">
        <f t="shared" si="5"/>
        <v>0:</v>
      </c>
      <c r="O31" s="56" t="str">
        <f t="shared" si="6"/>
        <v>0</v>
      </c>
      <c r="P31" s="57">
        <f t="shared" si="10"/>
        <v>0</v>
      </c>
      <c r="Q31" s="31">
        <f t="shared" si="13"/>
        <v>0</v>
      </c>
      <c r="R31" s="100"/>
      <c r="S31" s="10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15.75" x14ac:dyDescent="0.25">
      <c r="A32" s="7">
        <f t="shared" si="1"/>
        <v>52</v>
      </c>
      <c r="B32" s="8">
        <f t="shared" si="9"/>
        <v>46016</v>
      </c>
      <c r="C32" s="9" t="str" cm="1">
        <f t="array" ref="C32">_xlfn.XLOOKUP(E32,Masterdata!$B$31:$B$44,Masterdata!$A$31:$A$44,_xlfn.SWITCH(WEEKDAY($D32, 2), 1, "Monday", 2, "Tuesday", 3, "Wednesday", 4, "Thursday", 5, "Friday", 6, "Saturday", 7, "Sunday"),0)</f>
        <v>Christmas Day</v>
      </c>
      <c r="D32" s="30">
        <f t="shared" si="0"/>
        <v>5</v>
      </c>
      <c r="E32" s="72">
        <f t="shared" si="2"/>
        <v>46016</v>
      </c>
      <c r="F32" s="10" t="s">
        <v>18</v>
      </c>
      <c r="G32" s="12">
        <f>IF(AND(F32="N",NOT(OR($C32="Monday", $C32="Tuesday",$C32="Wednesday",$C32="Thursday",$C32="Friday"))),0,IFERROR(
    IF($F32="N", $W$9,
        IF(OR(
            AND(Masterdata!$B$4&lt;&gt;DATE(1900,1,0), Masterdata!$B$4&lt;$E32),
            AND(Masterdata!$B$3&lt;&gt;DATE(1900,1,0), Masterdata!$B$3&gt;$E32)
        ),
        IF($H32&gt;=TIME(0,0,0), "Type in next cell", 0),
        IF($H32&gt;=TIME(0,0,0), "Type in next cell",
            IF($H32&gt;=0, 0,
                IF(NOT(OR($C32="Monday", $C32="Tuesday",$C32="Wednesday",$C32="Thursday",$C32="Friday")), 0, 0)
            )
        )
    )),
"Type in next cell"))</f>
        <v>0</v>
      </c>
      <c r="H32" s="11">
        <v>0</v>
      </c>
      <c r="I32" s="11">
        <v>0</v>
      </c>
      <c r="J32" s="11">
        <v>0</v>
      </c>
      <c r="K32" s="27" t="str">
        <f t="shared" si="3"/>
        <v>00:00</v>
      </c>
      <c r="L32" s="27" t="str">
        <f>IF(F32="N","0:00",IF(
OR(
AND(Masterdata!$B$4&lt;&gt;DATE(1900,1,0),Masterdata!$B$4&lt;$E32),
AND(Masterdata!$B$3&lt;&gt;DATE(1900,1,0),Masterdata!$B$3&gt;$E32)
),
"0:00",
IF(
$H32&gt;TIME(0,0,0),
IF(
NOT(OR($C32="Monday", $C32="Tuesday",$C32="Wednesday",$C32="Thursday",$C32="Friday")),
TEXT($H32,"[tt]:mm"),
IF($H32-$W$9&gt;=0,TEXT($H32-$W$9,"[tt]:mm"),"-"&amp;TEXT(ABS($H32-$W$9),"[tt]:mm"))
),
IF(
NOT(OR($C32="Monday", $C32="Tuesday",$C32="Wednesday",$C32="Thursday",$C32="Friday")),
IF($J32-$I32&gt;=0,TEXT($J32-$I32,"[tt]:mm"),"-"&amp;TEXT(ABS($J32-$I32),"[tt]:mm")),
IFERROR(
IF($G32-$W$9=0,
IF($G32-$W$9&gt;=0,TEXT($G32-$W$9,"[tt]:mm"),"-"&amp;TEXT(ABS($G32-$W$9),"[tt]:mm")),
IF($J32-$I32&gt;=0,TEXT($J32-$I32,"[tt]:mm"),"-"&amp;TEXT(ABS($J32-$I32),"[tt]:mm"))
),
IF(
$J32-$I32-$W$9&gt;=0,
TEXT($J32-$I32-$W$9,"[tt]:mm"),
"-"&amp;TEXT(ABS($J32-$I32-$W$9),"[tt]:mm")
)
)
)
)
))</f>
        <v>0:00</v>
      </c>
      <c r="M32" s="73" t="str">
        <f t="shared" si="12"/>
        <v>0</v>
      </c>
      <c r="N32" s="25" t="str">
        <f t="shared" si="5"/>
        <v>0:</v>
      </c>
      <c r="O32" s="56" t="str">
        <f t="shared" si="6"/>
        <v>0</v>
      </c>
      <c r="P32" s="57">
        <f t="shared" si="10"/>
        <v>0</v>
      </c>
      <c r="Q32" s="31">
        <f t="shared" si="13"/>
        <v>0</v>
      </c>
      <c r="R32" s="100"/>
      <c r="S32" s="10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ht="15.75" x14ac:dyDescent="0.25">
      <c r="A33" s="7">
        <f t="shared" si="1"/>
        <v>52</v>
      </c>
      <c r="B33" s="8">
        <f t="shared" si="9"/>
        <v>46017</v>
      </c>
      <c r="C33" s="9" t="str" cm="1">
        <f t="array" ref="C33">_xlfn.XLOOKUP(E33,Masterdata!$B$31:$B$44,Masterdata!$A$31:$A$44,_xlfn.SWITCH(WEEKDAY($D33, 2), 1, "Monday", 2, "Tuesday", 3, "Wednesday", 4, "Thursday", 5, "Friday", 6, "Saturday", 7, "Sunday"),0)</f>
        <v>Second Christmas Day</v>
      </c>
      <c r="D33" s="30">
        <f t="shared" si="0"/>
        <v>6</v>
      </c>
      <c r="E33" s="72">
        <f t="shared" si="2"/>
        <v>46017</v>
      </c>
      <c r="F33" s="10" t="s">
        <v>18</v>
      </c>
      <c r="G33" s="12">
        <f>IF(AND(F33="N",NOT(OR($C33="Monday", $C33="Tuesday",$C33="Wednesday",$C33="Thursday",$C33="Friday"))),0,IFERROR(
    IF($F33="N", $W$9,
        IF(OR(
            AND(Masterdata!$B$4&lt;&gt;DATE(1900,1,0), Masterdata!$B$4&lt;$E33),
            AND(Masterdata!$B$3&lt;&gt;DATE(1900,1,0), Masterdata!$B$3&gt;$E33)
        ),
        IF($H33&gt;=TIME(0,0,0), "Type in next cell", 0),
        IF($H33&gt;=TIME(0,0,0), "Type in next cell",
            IF($H33&gt;=0, 0,
                IF(NOT(OR($C33="Monday", $C33="Tuesday",$C33="Wednesday",$C33="Thursday",$C33="Friday")), 0, 0)
            )
        )
    )),
"Type in next cell"))</f>
        <v>0</v>
      </c>
      <c r="H33" s="11">
        <v>0</v>
      </c>
      <c r="I33" s="11">
        <v>0</v>
      </c>
      <c r="J33" s="11">
        <v>0</v>
      </c>
      <c r="K33" s="27" t="str">
        <f t="shared" si="3"/>
        <v>00:00</v>
      </c>
      <c r="L33" s="27" t="str">
        <f>IF(F33="N","0:00",IF(
OR(
AND(Masterdata!$B$4&lt;&gt;DATE(1900,1,0),Masterdata!$B$4&lt;$E33),
AND(Masterdata!$B$3&lt;&gt;DATE(1900,1,0),Masterdata!$B$3&gt;$E33)
),
"0:00",
IF(
$H33&gt;TIME(0,0,0),
IF(
NOT(OR($C33="Monday", $C33="Tuesday",$C33="Wednesday",$C33="Thursday",$C33="Friday")),
TEXT($H33,"[tt]:mm"),
IF($H33-$W$9&gt;=0,TEXT($H33-$W$9,"[tt]:mm"),"-"&amp;TEXT(ABS($H33-$W$9),"[tt]:mm"))
),
IF(
NOT(OR($C33="Monday", $C33="Tuesday",$C33="Wednesday",$C33="Thursday",$C33="Friday")),
IF($J33-$I33&gt;=0,TEXT($J33-$I33,"[tt]:mm"),"-"&amp;TEXT(ABS($J33-$I33),"[tt]:mm")),
IFERROR(
IF($G33-$W$9=0,
IF($G33-$W$9&gt;=0,TEXT($G33-$W$9,"[tt]:mm"),"-"&amp;TEXT(ABS($G33-$W$9),"[tt]:mm")),
IF($J33-$I33&gt;=0,TEXT($J33-$I33,"[tt]:mm"),"-"&amp;TEXT(ABS($J33-$I33),"[tt]:mm"))
),
IF(
$J33-$I33-$W$9&gt;=0,
TEXT($J33-$I33-$W$9,"[tt]:mm"),
"-"&amp;TEXT(ABS($J33-$I33-$W$9),"[tt]:mm")
)
)
)
)
))</f>
        <v>0:00</v>
      </c>
      <c r="M33" s="73" t="str">
        <f t="shared" si="12"/>
        <v>0</v>
      </c>
      <c r="N33" s="25" t="str">
        <f t="shared" si="5"/>
        <v>0:</v>
      </c>
      <c r="O33" s="56" t="str">
        <f t="shared" si="6"/>
        <v>0</v>
      </c>
      <c r="P33" s="57">
        <f t="shared" si="10"/>
        <v>0</v>
      </c>
      <c r="Q33" s="31">
        <f t="shared" si="13"/>
        <v>0</v>
      </c>
      <c r="R33" s="100"/>
      <c r="S33" s="10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15.75" x14ac:dyDescent="0.25">
      <c r="A34" s="7">
        <f t="shared" si="1"/>
        <v>52</v>
      </c>
      <c r="B34" s="8">
        <f t="shared" si="9"/>
        <v>46018</v>
      </c>
      <c r="C34" s="9" t="str" cm="1">
        <f t="array" ref="C34">_xlfn.XLOOKUP(E34,Masterdata!$B$31:$B$44,Masterdata!$A$31:$A$44,_xlfn.SWITCH(WEEKDAY($D34, 2), 1, "Monday", 2, "Tuesday", 3, "Wednesday", 4, "Thursday", 5, "Friday", 6, "Saturday", 7, "Sunday"),0)</f>
        <v>Saturday</v>
      </c>
      <c r="D34" s="30">
        <f t="shared" si="0"/>
        <v>7</v>
      </c>
      <c r="E34" s="72">
        <f t="shared" si="2"/>
        <v>46018</v>
      </c>
      <c r="F34" s="10" t="s">
        <v>18</v>
      </c>
      <c r="G34" s="12">
        <f>IF(AND(F34="N",NOT(OR($C34="Monday", $C34="Tuesday",$C34="Wednesday",$C34="Thursday",$C34="Friday"))),0,IFERROR(
    IF($F34="N", $W$9,
        IF(OR(
            AND(Masterdata!$B$4&lt;&gt;DATE(1900,1,0), Masterdata!$B$4&lt;$E34),
            AND(Masterdata!$B$3&lt;&gt;DATE(1900,1,0), Masterdata!$B$3&gt;$E34)
        ),
        IF($H34&gt;=TIME(0,0,0), "Type in next cell", 0),
        IF($H34&gt;=TIME(0,0,0), "Type in next cell",
            IF($H34&gt;=0, 0,
                IF(NOT(OR($C34="Monday", $C34="Tuesday",$C34="Wednesday",$C34="Thursday",$C34="Friday")), 0, 0)
            )
        )
    )),
"Type in next cell"))</f>
        <v>0</v>
      </c>
      <c r="H34" s="11">
        <v>0</v>
      </c>
      <c r="I34" s="11">
        <v>0</v>
      </c>
      <c r="J34" s="11">
        <v>0</v>
      </c>
      <c r="K34" s="27" t="str">
        <f t="shared" si="3"/>
        <v>00:00</v>
      </c>
      <c r="L34" s="27" t="str">
        <f>IF(F34="N","0:00",IF(
OR(
AND(Masterdata!$B$4&lt;&gt;DATE(1900,1,0),Masterdata!$B$4&lt;$E34),
AND(Masterdata!$B$3&lt;&gt;DATE(1900,1,0),Masterdata!$B$3&gt;$E34)
),
"0:00",
IF(
$H34&gt;TIME(0,0,0),
IF(
NOT(OR($C34="Monday", $C34="Tuesday",$C34="Wednesday",$C34="Thursday",$C34="Friday")),
TEXT($H34,"[tt]:mm"),
IF($H34-$W$9&gt;=0,TEXT($H34-$W$9,"[tt]:mm"),"-"&amp;TEXT(ABS($H34-$W$9),"[tt]:mm"))
),
IF(
NOT(OR($C34="Monday", $C34="Tuesday",$C34="Wednesday",$C34="Thursday",$C34="Friday")),
IF($J34-$I34&gt;=0,TEXT($J34-$I34,"[tt]:mm"),"-"&amp;TEXT(ABS($J34-$I34),"[tt]:mm")),
IFERROR(
IF($G34-$W$9=0,
IF($G34-$W$9&gt;=0,TEXT($G34-$W$9,"[tt]:mm"),"-"&amp;TEXT(ABS($G34-$W$9),"[tt]:mm")),
IF($J34-$I34&gt;=0,TEXT($J34-$I34,"[tt]:mm"),"-"&amp;TEXT(ABS($J34-$I34),"[tt]:mm"))
),
IF(
$J34-$I34-$W$9&gt;=0,
TEXT($J34-$I34-$W$9,"[tt]:mm"),
"-"&amp;TEXT(ABS($J34-$I34-$W$9),"[tt]:mm")
)
)
)
)
))</f>
        <v>0:00</v>
      </c>
      <c r="M34" s="73" t="str">
        <f t="shared" si="12"/>
        <v>0</v>
      </c>
      <c r="N34" s="25" t="str">
        <f t="shared" si="5"/>
        <v>0:</v>
      </c>
      <c r="O34" s="56" t="str">
        <f t="shared" si="6"/>
        <v>0</v>
      </c>
      <c r="P34" s="57">
        <f t="shared" si="10"/>
        <v>0</v>
      </c>
      <c r="Q34" s="31">
        <f t="shared" si="13"/>
        <v>0</v>
      </c>
      <c r="R34" s="100"/>
      <c r="S34" s="10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ht="15.75" x14ac:dyDescent="0.25">
      <c r="A35" s="7">
        <f t="shared" si="1"/>
        <v>52</v>
      </c>
      <c r="B35" s="8">
        <f t="shared" si="9"/>
        <v>46019</v>
      </c>
      <c r="C35" s="9" t="str" cm="1">
        <f t="array" ref="C35">_xlfn.XLOOKUP(E35,Masterdata!$B$31:$B$44,Masterdata!$A$31:$A$44,_xlfn.SWITCH(WEEKDAY($D35, 2), 1, "Monday", 2, "Tuesday", 3, "Wednesday", 4, "Thursday", 5, "Friday", 6, "Saturday", 7, "Sunday"),0)</f>
        <v>Sunday</v>
      </c>
      <c r="D35" s="30">
        <f t="shared" si="0"/>
        <v>8</v>
      </c>
      <c r="E35" s="72">
        <f t="shared" si="2"/>
        <v>46019</v>
      </c>
      <c r="F35" s="10" t="s">
        <v>18</v>
      </c>
      <c r="G35" s="12">
        <f>IF(AND(F35="N",NOT(OR($C35="Monday", $C35="Tuesday",$C35="Wednesday",$C35="Thursday",$C35="Friday"))),0,IFERROR(
    IF($F35="N", $W$9,
        IF(OR(
            AND(Masterdata!$B$4&lt;&gt;DATE(1900,1,0), Masterdata!$B$4&lt;$E35),
            AND(Masterdata!$B$3&lt;&gt;DATE(1900,1,0), Masterdata!$B$3&gt;$E35)
        ),
        IF($H35&gt;=TIME(0,0,0), "Type in next cell", 0),
        IF($H35&gt;=TIME(0,0,0), "Type in next cell",
            IF($H35&gt;=0, 0,
                IF(NOT(OR($C35="Monday", $C35="Tuesday",$C35="Wednesday",$C35="Thursday",$C35="Friday")), 0, 0)
            )
        )
    )),
"Type in next cell"))</f>
        <v>0</v>
      </c>
      <c r="H35" s="11">
        <v>0</v>
      </c>
      <c r="I35" s="11">
        <v>0</v>
      </c>
      <c r="J35" s="11">
        <v>0</v>
      </c>
      <c r="K35" s="27" t="str">
        <f t="shared" si="3"/>
        <v>00:00</v>
      </c>
      <c r="L35" s="27" t="str">
        <f>IF(F35="N","0:00",IF(
OR(
AND(Masterdata!$B$4&lt;&gt;DATE(1900,1,0),Masterdata!$B$4&lt;$E35),
AND(Masterdata!$B$3&lt;&gt;DATE(1900,1,0),Masterdata!$B$3&gt;$E35)
),
"0:00",
IF(
$H35&gt;TIME(0,0,0),
IF(
NOT(OR($C35="Monday", $C35="Tuesday",$C35="Wednesday",$C35="Thursday",$C35="Friday")),
TEXT($H35,"[tt]:mm"),
IF($H35-$W$9&gt;=0,TEXT($H35-$W$9,"[tt]:mm"),"-"&amp;TEXT(ABS($H35-$W$9),"[tt]:mm"))
),
IF(
NOT(OR($C35="Monday", $C35="Tuesday",$C35="Wednesday",$C35="Thursday",$C35="Friday")),
IF($J35-$I35&gt;=0,TEXT($J35-$I35,"[tt]:mm"),"-"&amp;TEXT(ABS($J35-$I35),"[tt]:mm")),
IFERROR(
IF($G35-$W$9=0,
IF($G35-$W$9&gt;=0,TEXT($G35-$W$9,"[tt]:mm"),"-"&amp;TEXT(ABS($G35-$W$9),"[tt]:mm")),
IF($J35-$I35&gt;=0,TEXT($J35-$I35,"[tt]:mm"),"-"&amp;TEXT(ABS($J35-$I35),"[tt]:mm"))
),
IF(
$J35-$I35-$W$9&gt;=0,
TEXT($J35-$I35-$W$9,"[tt]:mm"),
"-"&amp;TEXT(ABS($J35-$I35-$W$9),"[tt]:mm")
)
)
)
)
))</f>
        <v>0:00</v>
      </c>
      <c r="M35" s="73" t="str">
        <f t="shared" si="12"/>
        <v>0</v>
      </c>
      <c r="N35" s="25" t="str">
        <f t="shared" si="5"/>
        <v>0:</v>
      </c>
      <c r="O35" s="56" t="str">
        <f t="shared" si="6"/>
        <v>0</v>
      </c>
      <c r="P35" s="57">
        <f t="shared" si="10"/>
        <v>0</v>
      </c>
      <c r="Q35" s="31">
        <f t="shared" si="13"/>
        <v>0</v>
      </c>
      <c r="R35" s="100"/>
      <c r="S35" s="10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15.75" x14ac:dyDescent="0.25">
      <c r="A36" s="7">
        <f t="shared" si="1"/>
        <v>1</v>
      </c>
      <c r="B36" s="8">
        <f t="shared" si="9"/>
        <v>46020</v>
      </c>
      <c r="C36" s="9" t="str" cm="1">
        <f t="array" ref="C36">_xlfn.XLOOKUP(E36,Masterdata!$B$31:$B$44,Masterdata!$A$31:$A$44,_xlfn.SWITCH(WEEKDAY($D36, 2), 1, "Monday", 2, "Tuesday", 3, "Wednesday", 4, "Thursday", 5, "Friday", 6, "Saturday", 7, "Sunday"),0)</f>
        <v>Monday</v>
      </c>
      <c r="D36" s="30">
        <f t="shared" si="0"/>
        <v>2</v>
      </c>
      <c r="E36" s="72">
        <f t="shared" si="2"/>
        <v>46020</v>
      </c>
      <c r="F36" s="10" t="s">
        <v>18</v>
      </c>
      <c r="G36" s="12">
        <f>IF(AND(F36="N",NOT(OR($C36="Monday", $C36="Tuesday",$C36="Wednesday",$C36="Thursday",$C36="Friday"))),0,IFERROR(
    IF($F36="N", $W$9,
        IF(OR(
            AND(Masterdata!$B$4&lt;&gt;DATE(1900,1,0), Masterdata!$B$4&lt;$E36),
            AND(Masterdata!$B$3&lt;&gt;DATE(1900,1,0), Masterdata!$B$3&gt;$E36)
        ),
        IF($H36&gt;=TIME(0,0,0), "Type in next cell", 0),
        IF($H36&gt;=TIME(0,0,0), "Type in next cell",
            IF($H36&gt;=0, 0,
                IF(NOT(OR($C36="Monday", $C36="Tuesday",$C36="Wednesday",$C36="Thursday",$C36="Friday")), 0, 0)
            )
        )
    )),
"Type in next cell"))</f>
        <v>0.30833333333333335</v>
      </c>
      <c r="H36" s="11">
        <v>0</v>
      </c>
      <c r="I36" s="11">
        <v>0</v>
      </c>
      <c r="J36" s="11">
        <v>0</v>
      </c>
      <c r="K36" s="27" t="str">
        <f t="shared" si="3"/>
        <v>00:00</v>
      </c>
      <c r="L36" s="27" t="str">
        <f>IF(F36="N","0:00",IF(
OR(
AND(Masterdata!$B$4&lt;&gt;DATE(1900,1,0),Masterdata!$B$4&lt;$E36),
AND(Masterdata!$B$3&lt;&gt;DATE(1900,1,0),Masterdata!$B$3&gt;$E36)
),
"0:00",
IF(
$H36&gt;TIME(0,0,0),
IF(
NOT(OR($C36="Monday", $C36="Tuesday",$C36="Wednesday",$C36="Thursday",$C36="Friday")),
TEXT($H36,"[tt]:mm"),
IF($H36-$W$9&gt;=0,TEXT($H36-$W$9,"[tt]:mm"),"-"&amp;TEXT(ABS($H36-$W$9),"[tt]:mm"))
),
IF(
NOT(OR($C36="Monday", $C36="Tuesday",$C36="Wednesday",$C36="Thursday",$C36="Friday")),
IF($J36-$I36&gt;=0,TEXT($J36-$I36,"[tt]:mm"),"-"&amp;TEXT(ABS($J36-$I36),"[tt]:mm")),
IFERROR(
IF($G36-$W$9=0,
IF($G36-$W$9&gt;=0,TEXT($G36-$W$9,"[tt]:mm"),"-"&amp;TEXT(ABS($G36-$W$9),"[tt]:mm")),
IF($J36-$I36&gt;=0,TEXT($J36-$I36,"[tt]:mm"),"-"&amp;TEXT(ABS($J36-$I36),"[tt]:mm"))
),
IF(
$J36-$I36-$W$9&gt;=0,
TEXT($J36-$I36-$W$9,"[tt]:mm"),
"-"&amp;TEXT(ABS($J36-$I36-$W$9),"[tt]:mm")
)
)
)
)
))</f>
        <v>0:00</v>
      </c>
      <c r="M36" s="73" t="str">
        <f t="shared" si="12"/>
        <v>0</v>
      </c>
      <c r="N36" s="25" t="str">
        <f t="shared" si="5"/>
        <v>0:</v>
      </c>
      <c r="O36" s="56" t="str">
        <f t="shared" si="6"/>
        <v>0</v>
      </c>
      <c r="P36" s="57">
        <f t="shared" si="10"/>
        <v>0</v>
      </c>
      <c r="Q36" s="31">
        <f t="shared" si="13"/>
        <v>0</v>
      </c>
      <c r="R36" s="100"/>
      <c r="S36" s="10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ht="15.75" x14ac:dyDescent="0.25">
      <c r="A37" s="7">
        <f t="shared" si="1"/>
        <v>1</v>
      </c>
      <c r="B37" s="8">
        <f t="shared" si="9"/>
        <v>46021</v>
      </c>
      <c r="C37" s="9" t="str" cm="1">
        <f t="array" ref="C37">_xlfn.XLOOKUP(E37,Masterdata!$B$31:$B$44,Masterdata!$A$31:$A$44,_xlfn.SWITCH(WEEKDAY($D37, 2), 1, "Monday", 2, "Tuesday", 3, "Wednesday", 4, "Thursday", 5, "Friday", 6, "Saturday", 7, "Sunday"),0)</f>
        <v>Tuesday</v>
      </c>
      <c r="D37" s="30">
        <f t="shared" si="0"/>
        <v>3</v>
      </c>
      <c r="E37" s="72">
        <f t="shared" si="2"/>
        <v>46021</v>
      </c>
      <c r="F37" s="10" t="s">
        <v>18</v>
      </c>
      <c r="G37" s="12">
        <f>IF(AND(F37="N",NOT(OR($C37="Monday", $C37="Tuesday",$C37="Wednesday",$C37="Thursday",$C37="Friday"))),0,IFERROR(
    IF($F37="N", $W$9,
        IF(OR(
            AND(Masterdata!$B$4&lt;&gt;DATE(1900,1,0), Masterdata!$B$4&lt;$E37),
            AND(Masterdata!$B$3&lt;&gt;DATE(1900,1,0), Masterdata!$B$3&gt;$E37)
        ),
        IF($H37&gt;=TIME(0,0,0), "Type in next cell", 0),
        IF($H37&gt;=TIME(0,0,0), "Type in next cell",
            IF($H37&gt;=0, 0,
                IF(NOT(OR($C37="Monday", $C37="Tuesday",$C37="Wednesday",$C37="Thursday",$C37="Friday")), 0, 0)
            )
        )
    )),
"Type in next cell"))</f>
        <v>0.30833333333333335</v>
      </c>
      <c r="H37" s="11">
        <v>0</v>
      </c>
      <c r="I37" s="11">
        <v>0</v>
      </c>
      <c r="J37" s="11">
        <v>0</v>
      </c>
      <c r="K37" s="27" t="str">
        <f t="shared" si="3"/>
        <v>00:00</v>
      </c>
      <c r="L37" s="27" t="str">
        <f>IF(F37="N","0:00",IF(
OR(
AND(Masterdata!$B$4&lt;&gt;DATE(1900,1,0),Masterdata!$B$4&lt;$E37),
AND(Masterdata!$B$3&lt;&gt;DATE(1900,1,0),Masterdata!$B$3&gt;$E37)
),
"0:00",
IF(
$H37&gt;TIME(0,0,0),
IF(
NOT(OR($C37="Monday", $C37="Tuesday",$C37="Wednesday",$C37="Thursday",$C37="Friday")),
TEXT($H37,"[tt]:mm"),
IF($H37-$W$9&gt;=0,TEXT($H37-$W$9,"[tt]:mm"),"-"&amp;TEXT(ABS($H37-$W$9),"[tt]:mm"))
),
IF(
NOT(OR($C37="Monday", $C37="Tuesday",$C37="Wednesday",$C37="Thursday",$C37="Friday")),
IF($J37-$I37&gt;=0,TEXT($J37-$I37,"[tt]:mm"),"-"&amp;TEXT(ABS($J37-$I37),"[tt]:mm")),
IFERROR(
IF($G37-$W$9=0,
IF($G37-$W$9&gt;=0,TEXT($G37-$W$9,"[tt]:mm"),"-"&amp;TEXT(ABS($G37-$W$9),"[tt]:mm")),
IF($J37-$I37&gt;=0,TEXT($J37-$I37,"[tt]:mm"),"-"&amp;TEXT(ABS($J37-$I37),"[tt]:mm"))
),
IF(
$J37-$I37-$W$9&gt;=0,
TEXT($J37-$I37-$W$9,"[tt]:mm"),
"-"&amp;TEXT(ABS($J37-$I37-$W$9),"[tt]:mm")
)
)
)
)
))</f>
        <v>0:00</v>
      </c>
      <c r="M37" s="73" t="str">
        <f t="shared" si="12"/>
        <v>0</v>
      </c>
      <c r="N37" s="25" t="str">
        <f t="shared" si="5"/>
        <v>0:</v>
      </c>
      <c r="O37" s="56" t="str">
        <f t="shared" si="6"/>
        <v>0</v>
      </c>
      <c r="P37" s="57">
        <f t="shared" si="10"/>
        <v>0</v>
      </c>
      <c r="Q37" s="31">
        <f t="shared" si="13"/>
        <v>0</v>
      </c>
      <c r="R37" s="100"/>
      <c r="S37" s="10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15.75" x14ac:dyDescent="0.25">
      <c r="A38" s="7">
        <f t="shared" si="1"/>
        <v>1</v>
      </c>
      <c r="B38" s="8">
        <f t="shared" si="9"/>
        <v>46022</v>
      </c>
      <c r="C38" s="9" t="str" cm="1">
        <f t="array" ref="C38">_xlfn.XLOOKUP(E38,Masterdata!$B$31:$B$44,Masterdata!$A$31:$A$44,_xlfn.SWITCH(WEEKDAY($D38, 2), 1, "Monday", 2, "Tuesday", 3, "Wednesday", 4, "Thursday", 5, "Friday", 6, "Saturday", 7, "Sunday"),0)</f>
        <v>New Years Eve</v>
      </c>
      <c r="D38" s="30">
        <f t="shared" si="0"/>
        <v>4</v>
      </c>
      <c r="E38" s="72">
        <f t="shared" si="2"/>
        <v>46022</v>
      </c>
      <c r="F38" s="10" t="s">
        <v>18</v>
      </c>
      <c r="G38" s="12">
        <f>IF(AND(F38="N",NOT(OR($C38="Monday", $C38="Tuesday",$C38="Wednesday",$C38="Thursday",$C38="Friday"))),0,IFERROR(
    IF($F38="N", $W$9,
        IF(OR(
            AND(Masterdata!$B$4&lt;&gt;DATE(1900,1,0), Masterdata!$B$4&lt;$E38),
            AND(Masterdata!$B$3&lt;&gt;DATE(1900,1,0), Masterdata!$B$3&gt;$E38)
        ),
        IF($H38&gt;=TIME(0,0,0), "Type in next cell", 0),
        IF($H38&gt;=TIME(0,0,0), "Type in next cell",
            IF($H38&gt;=0, 0,
                IF(NOT(OR($C38="Monday", $C38="Tuesday",$C38="Wednesday",$C38="Thursday",$C38="Friday")), 0, 0)
            )
        )
    )),
"Type in next cell"))</f>
        <v>0</v>
      </c>
      <c r="H38" s="11">
        <v>0</v>
      </c>
      <c r="I38" s="11">
        <v>0</v>
      </c>
      <c r="J38" s="11">
        <v>0</v>
      </c>
      <c r="K38" s="27" t="str">
        <f t="shared" si="3"/>
        <v>00:00</v>
      </c>
      <c r="L38" s="27" t="str">
        <f>IF(F38="N","0:00",IF(
OR(
AND(Masterdata!$B$4&lt;&gt;DATE(1900,1,0),Masterdata!$B$4&lt;$E38),
AND(Masterdata!$B$3&lt;&gt;DATE(1900,1,0),Masterdata!$B$3&gt;$E38)
),
"0:00",
IF(
$H38&gt;TIME(0,0,0),
IF(
NOT(OR($C38="Monday", $C38="Tuesday",$C38="Wednesday",$C38="Thursday",$C38="Friday")),
TEXT($H38,"[tt]:mm"),
IF($H38-$W$9&gt;=0,TEXT($H38-$W$9,"[tt]:mm"),"-"&amp;TEXT(ABS($H38-$W$9),"[tt]:mm"))
),
IF(
NOT(OR($C38="Monday", $C38="Tuesday",$C38="Wednesday",$C38="Thursday",$C38="Friday")),
IF($J38-$I38&gt;=0,TEXT($J38-$I38,"[tt]:mm"),"-"&amp;TEXT(ABS($J38-$I38),"[tt]:mm")),
IFERROR(
IF($G38-$W$9=0,
IF($G38-$W$9&gt;=0,TEXT($G38-$W$9,"[tt]:mm"),"-"&amp;TEXT(ABS($G38-$W$9),"[tt]:mm")),
IF($J38-$I38&gt;=0,TEXT($J38-$I38,"[tt]:mm"),"-"&amp;TEXT(ABS($J38-$I38),"[tt]:mm"))
),
IF(
$J38-$I38-$W$9&gt;=0,
TEXT($J38-$I38-$W$9,"[tt]:mm"),
"-"&amp;TEXT(ABS($J38-$I38-$W$9),"[tt]:mm")
)
)
)
)
))</f>
        <v>0:00</v>
      </c>
      <c r="M38" s="73" t="str">
        <f t="shared" si="12"/>
        <v>0</v>
      </c>
      <c r="N38" s="25" t="str">
        <f t="shared" si="5"/>
        <v>0:</v>
      </c>
      <c r="O38" s="56" t="str">
        <f t="shared" si="6"/>
        <v>0</v>
      </c>
      <c r="P38" s="57">
        <f t="shared" si="10"/>
        <v>0</v>
      </c>
      <c r="Q38" s="31">
        <f t="shared" si="13"/>
        <v>0</v>
      </c>
      <c r="R38" s="100"/>
      <c r="S38" s="10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ht="15.75" x14ac:dyDescent="0.25">
      <c r="A39" s="30"/>
      <c r="B39" s="30"/>
      <c r="C39" s="30"/>
      <c r="D39" s="30"/>
      <c r="E39" s="30"/>
      <c r="F39" s="30"/>
      <c r="G39" s="30"/>
      <c r="H39" s="30"/>
      <c r="I39" s="30"/>
      <c r="J39" s="30"/>
      <c r="K39" s="30"/>
      <c r="L39" s="75"/>
      <c r="M39" s="30"/>
      <c r="N39" s="30"/>
      <c r="O39" s="30"/>
      <c r="P39" s="30"/>
      <c r="Q39" s="31">
        <f>SUM(Q8:Q38)</f>
        <v>0</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15.75"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ht="15.75" x14ac:dyDescent="0.2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15.75" x14ac:dyDescent="0.2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ht="15.75" x14ac:dyDescent="0.2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ht="15.75" x14ac:dyDescent="0.2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ht="15.75" x14ac:dyDescent="0.25">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ht="15.75" x14ac:dyDescent="0.2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ht="15.75" x14ac:dyDescent="0.2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ht="15.75" x14ac:dyDescent="0.2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ht="15.75" x14ac:dyDescent="0.2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row>
    <row r="50" spans="1:44" ht="15.75" x14ac:dyDescent="0.2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row>
    <row r="51" spans="1:44" ht="15.75"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row>
    <row r="52" spans="1:44" ht="15.75" x14ac:dyDescent="0.2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row>
    <row r="53" spans="1:44" ht="15.75" x14ac:dyDescent="0.2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44" ht="15.75" x14ac:dyDescent="0.2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row r="55" spans="1:44" ht="15.75"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row>
    <row r="56" spans="1:44" ht="15.75" x14ac:dyDescent="0.2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ht="15.75" x14ac:dyDescent="0.2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ht="15.75" x14ac:dyDescent="0.2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ht="15.75" x14ac:dyDescent="0.2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ht="15.75" x14ac:dyDescent="0.2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ht="15.75" x14ac:dyDescent="0.2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ht="15.75" x14ac:dyDescent="0.2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15.75" x14ac:dyDescent="0.2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row>
    <row r="64" spans="1:44" ht="15.75" x14ac:dyDescent="0.2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row>
    <row r="65" spans="1:44" ht="15.75" x14ac:dyDescent="0.2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15.75" x14ac:dyDescent="0.2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5.75" x14ac:dyDescent="0.2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row>
    <row r="68" spans="1:44" ht="15.75" x14ac:dyDescent="0.2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ht="15.75" x14ac:dyDescent="0.2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row>
    <row r="70" spans="1:44" ht="15.75" x14ac:dyDescent="0.2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ht="15.75" x14ac:dyDescent="0.2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15.75" x14ac:dyDescent="0.2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ht="15.75" x14ac:dyDescent="0.2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row>
    <row r="74" spans="1:44" ht="15.75" x14ac:dyDescent="0.2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ht="15.75"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row>
    <row r="76" spans="1:44" ht="15.75" x14ac:dyDescent="0.2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ht="15.75" x14ac:dyDescent="0.2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row>
  </sheetData>
  <sheetProtection algorithmName="SHA-512" hashValue="N9yXdxSbqs9B4/b0kGsfkaHt+Gv5yBUS7lWo08F8eBsHwDBd1XgNO1DdSkpIM9uWZX2hUvFjRdcIIifoOY5DXQ==" saltValue="4YaK7OVE+aL1h4NQDtSxLg==" spinCount="100000" sheet="1" objects="1" scenarios="1"/>
  <mergeCells count="37">
    <mergeCell ref="R7:S7"/>
    <mergeCell ref="R1:S1"/>
    <mergeCell ref="R2:S2"/>
    <mergeCell ref="R3:S3"/>
    <mergeCell ref="R4:S4"/>
    <mergeCell ref="R5:S5"/>
    <mergeCell ref="R19:S19"/>
    <mergeCell ref="R8:S8"/>
    <mergeCell ref="R9:S9"/>
    <mergeCell ref="R10:S10"/>
    <mergeCell ref="R11:S11"/>
    <mergeCell ref="R12:S12"/>
    <mergeCell ref="R13:S13"/>
    <mergeCell ref="R14:S14"/>
    <mergeCell ref="R15:S15"/>
    <mergeCell ref="R16:S16"/>
    <mergeCell ref="R17:S17"/>
    <mergeCell ref="R18:S18"/>
    <mergeCell ref="R31:S31"/>
    <mergeCell ref="R20:S20"/>
    <mergeCell ref="R21:S21"/>
    <mergeCell ref="R22:S22"/>
    <mergeCell ref="R23:S23"/>
    <mergeCell ref="R24:S24"/>
    <mergeCell ref="R25:S25"/>
    <mergeCell ref="R26:S26"/>
    <mergeCell ref="R27:S27"/>
    <mergeCell ref="R28:S28"/>
    <mergeCell ref="R29:S29"/>
    <mergeCell ref="R30:S30"/>
    <mergeCell ref="R38:S38"/>
    <mergeCell ref="R32:S32"/>
    <mergeCell ref="R33:S33"/>
    <mergeCell ref="R34:S34"/>
    <mergeCell ref="R35:S35"/>
    <mergeCell ref="R36:S36"/>
    <mergeCell ref="R37:S37"/>
  </mergeCells>
  <conditionalFormatting sqref="A8:G38">
    <cfRule type="expression" dxfId="3" priority="2">
      <formula>NOT(OR($C8="Monday", $C8="Tuesday",$C8="Wednesday",$C8="Thursday",$C8="Friday"))</formula>
    </cfRule>
  </conditionalFormatting>
  <conditionalFormatting sqref="G8:G38">
    <cfRule type="expression" dxfId="2" priority="4">
      <formula>AND($F8="N", (OR($C8="Monday", $C8="Tuesday",$C8="Wednesday",$C8="Thursday",$C8="Friday")))</formula>
    </cfRule>
  </conditionalFormatting>
  <conditionalFormatting sqref="H8:J38">
    <cfRule type="expression" dxfId="1" priority="1">
      <formula>OR($F8="N")</formula>
    </cfRule>
    <cfRule type="expression" dxfId="0" priority="3">
      <formula>$F8="R"</formula>
    </cfRule>
  </conditionalFormatting>
  <dataValidations count="1">
    <dataValidation type="list" allowBlank="1" showInputMessage="1" showErrorMessage="1" sqref="F8:F38" xr:uid="{EE3C8013-D316-4C5B-A075-9D2F04DA95B6}">
      <formula1>$L$3:$L$4</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FF40F5600566343A10E1750CB575FB0" ma:contentTypeVersion="6" ma:contentTypeDescription="Opret et nyt dokument." ma:contentTypeScope="" ma:versionID="2a1ab41969b3b77c51b356210a1c6e83">
  <xsd:schema xmlns:xsd="http://www.w3.org/2001/XMLSchema" xmlns:xs="http://www.w3.org/2001/XMLSchema" xmlns:p="http://schemas.microsoft.com/office/2006/metadata/properties" xmlns:ns2="d481621c-2c56-4a5d-b371-7bbcce2ef15f" xmlns:ns3="6ac0f6f5-a6d0-4a1a-a596-810390f64f82" targetNamespace="http://schemas.microsoft.com/office/2006/metadata/properties" ma:root="true" ma:fieldsID="884b550ab2daf5c3ac393328c06893d4" ns2:_="" ns3:_="">
    <xsd:import namespace="d481621c-2c56-4a5d-b371-7bbcce2ef15f"/>
    <xsd:import namespace="6ac0f6f5-a6d0-4a1a-a596-810390f64f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81621c-2c56-4a5d-b371-7bbcce2ef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c0f6f5-a6d0-4a1a-a596-810390f64f8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1C77DD-F93A-4A7A-BF76-A45545D7E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81621c-2c56-4a5d-b371-7bbcce2ef15f"/>
    <ds:schemaRef ds:uri="6ac0f6f5-a6d0-4a1a-a596-810390f64f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63BA41-2C61-4993-B95C-26BE203FE9D2}">
  <ds:schemaRefs>
    <ds:schemaRef ds:uri="http://schemas.microsoft.com/sharepoint/v3/contenttype/forms"/>
  </ds:schemaRefs>
</ds:datastoreItem>
</file>

<file path=customXml/itemProps3.xml><?xml version="1.0" encoding="utf-8"?>
<ds:datastoreItem xmlns:ds="http://schemas.openxmlformats.org/officeDocument/2006/customXml" ds:itemID="{F6A2EA5A-04E0-4905-A4B1-C79E857E8986}">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6ac0f6f5-a6d0-4a1a-a596-810390f64f82"/>
    <ds:schemaRef ds:uri="d481621c-2c56-4a5d-b371-7bbcce2ef15f"/>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Navngivne områder</vt:lpstr>
      </vt:variant>
      <vt:variant>
        <vt:i4>2</vt:i4>
      </vt:variant>
    </vt:vector>
  </HeadingPairs>
  <TitlesOfParts>
    <vt:vector size="15" baseType="lpstr">
      <vt:lpstr>Masterdata</vt:lpstr>
      <vt:lpstr>January</vt:lpstr>
      <vt:lpstr>February</vt:lpstr>
      <vt:lpstr>March</vt:lpstr>
      <vt:lpstr>April</vt:lpstr>
      <vt:lpstr>May</vt:lpstr>
      <vt:lpstr>June</vt:lpstr>
      <vt:lpstr>July</vt:lpstr>
      <vt:lpstr>August</vt:lpstr>
      <vt:lpstr>September</vt:lpstr>
      <vt:lpstr>October</vt:lpstr>
      <vt:lpstr>November</vt:lpstr>
      <vt:lpstr>December</vt:lpstr>
      <vt:lpstr>Masterdata!År</vt:lpstr>
      <vt:lpstr>Årstal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Kasper Gadgaard Belling</dc:creator>
  <cp:keywords/>
  <dc:description/>
  <cp:lastModifiedBy>Amalie Kaastrup-Hansen</cp:lastModifiedBy>
  <cp:revision/>
  <cp:lastPrinted>2024-09-23T08:29:11Z</cp:lastPrinted>
  <dcterms:created xsi:type="dcterms:W3CDTF">2024-05-16T07:35:07Z</dcterms:created>
  <dcterms:modified xsi:type="dcterms:W3CDTF">2024-12-18T11:08:58Z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0x0101001FF40F5600566343A10E1750CB575FB0</vt:lpwstr>
  </property>
</Properties>
</file>