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enne_projektmappe"/>
  <mc:AlternateContent xmlns:mc="http://schemas.openxmlformats.org/markup-compatibility/2006">
    <mc:Choice Requires="x15">
      <x15ac:absPath xmlns:x15ac="http://schemas.microsoft.com/office/spreadsheetml/2010/11/ac" url="O:\FA_ADM-PERSONDATA\03 Arbejdsmapper\Kasper\"/>
    </mc:Choice>
  </mc:AlternateContent>
  <xr:revisionPtr revIDLastSave="0" documentId="8_{1BD91C87-0F1C-43CC-99BA-B4E7AE3D5C71}" xr6:coauthVersionLast="47" xr6:coauthVersionMax="47" xr10:uidLastSave="{00000000-0000-0000-0000-000000000000}"/>
  <bookViews>
    <workbookView xWindow="28680" yWindow="-120" windowWidth="29040" windowHeight="17520" tabRatio="809" activeTab="10" xr2:uid="{6BDF1949-C92B-4F4D-98DF-DF0EE89F4FE3}"/>
  </bookViews>
  <sheets>
    <sheet name="Masterdata" sheetId="1" r:id="rId1"/>
    <sheet name="Januar" sheetId="17" state="hidden" r:id="rId2"/>
    <sheet name="Februar" sheetId="27" state="hidden" r:id="rId3"/>
    <sheet name="Marts" sheetId="26" state="hidden" r:id="rId4"/>
    <sheet name="April" sheetId="25" state="hidden" r:id="rId5"/>
    <sheet name="Maj" sheetId="24" state="hidden" r:id="rId6"/>
    <sheet name="Juni" sheetId="23" state="hidden" r:id="rId7"/>
    <sheet name="July" sheetId="22" r:id="rId8"/>
    <sheet name="August" sheetId="21" r:id="rId9"/>
    <sheet name="September" sheetId="20" r:id="rId10"/>
    <sheet name="October" sheetId="19" r:id="rId11"/>
    <sheet name="November" sheetId="28" r:id="rId12"/>
    <sheet name="December" sheetId="18" r:id="rId13"/>
    <sheet name="Januar gl" sheetId="2" state="hidden" r:id="rId14"/>
  </sheets>
  <externalReferences>
    <externalReference r:id="rId15"/>
  </externalReferences>
  <definedNames>
    <definedName name="DailyWorkDays">[1]Status!$E$12</definedName>
    <definedName name="StartCalcFrom">[1]Status!$G$3</definedName>
    <definedName name="StopCalcFrom">[1]Status!$G$4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D17" i="1"/>
  <c r="D16" i="1"/>
  <c r="B2" i="18"/>
  <c r="B2" i="19"/>
  <c r="B2" i="20"/>
  <c r="C17" i="1"/>
  <c r="C16" i="1"/>
  <c r="P38" i="19"/>
  <c r="P37" i="20"/>
  <c r="K8" i="18"/>
  <c r="L8" i="18" s="1"/>
  <c r="K9" i="18"/>
  <c r="L9" i="18"/>
  <c r="M9" i="18" s="1"/>
  <c r="K11" i="18"/>
  <c r="L11" i="18" s="1"/>
  <c r="K12" i="18"/>
  <c r="L12" i="18" s="1"/>
  <c r="K13" i="18"/>
  <c r="L13" i="18"/>
  <c r="M13" i="18" s="1"/>
  <c r="K14" i="18"/>
  <c r="L14" i="18" s="1"/>
  <c r="K15" i="18"/>
  <c r="L15" i="18" s="1"/>
  <c r="K16" i="18"/>
  <c r="L16" i="18" s="1"/>
  <c r="K18" i="18"/>
  <c r="L18" i="18" s="1"/>
  <c r="K19" i="18"/>
  <c r="L19" i="18" s="1"/>
  <c r="K20" i="18"/>
  <c r="L20" i="18" s="1"/>
  <c r="K21" i="18"/>
  <c r="L21" i="18"/>
  <c r="M21" i="18" s="1"/>
  <c r="K22" i="18"/>
  <c r="L22" i="18" s="1"/>
  <c r="K23" i="18"/>
  <c r="L23" i="18" s="1"/>
  <c r="K24" i="18"/>
  <c r="L24" i="18" s="1"/>
  <c r="K25" i="18"/>
  <c r="L25" i="18"/>
  <c r="M25" i="18" s="1"/>
  <c r="K26" i="18"/>
  <c r="L26" i="18" s="1"/>
  <c r="K27" i="18"/>
  <c r="L27" i="18" s="1"/>
  <c r="K28" i="18"/>
  <c r="L28" i="18" s="1"/>
  <c r="K29" i="18"/>
  <c r="L29" i="18"/>
  <c r="M29" i="18" s="1"/>
  <c r="K30" i="18"/>
  <c r="L30" i="18" s="1"/>
  <c r="K31" i="18"/>
  <c r="L31" i="18" s="1"/>
  <c r="K32" i="18"/>
  <c r="L32" i="18" s="1"/>
  <c r="K33" i="18"/>
  <c r="L33" i="18"/>
  <c r="M33" i="18" s="1"/>
  <c r="K34" i="18"/>
  <c r="L34" i="18" s="1"/>
  <c r="K35" i="18"/>
  <c r="L35" i="18" s="1"/>
  <c r="K36" i="18"/>
  <c r="L36" i="18" s="1"/>
  <c r="K37" i="18"/>
  <c r="L37" i="18"/>
  <c r="M37" i="18" s="1"/>
  <c r="K7" i="18"/>
  <c r="L7" i="18" s="1"/>
  <c r="K8" i="28"/>
  <c r="L8" i="28" s="1"/>
  <c r="K9" i="28"/>
  <c r="L9" i="28"/>
  <c r="M9" i="28" s="1"/>
  <c r="K10" i="28"/>
  <c r="L10" i="28" s="1"/>
  <c r="K11" i="28"/>
  <c r="L11" i="28" s="1"/>
  <c r="K12" i="28"/>
  <c r="L12" i="28" s="1"/>
  <c r="K13" i="28"/>
  <c r="L13" i="28"/>
  <c r="M13" i="28" s="1"/>
  <c r="K14" i="28"/>
  <c r="L14" i="28" s="1"/>
  <c r="K15" i="28"/>
  <c r="L15" i="28" s="1"/>
  <c r="K16" i="28"/>
  <c r="L16" i="28" s="1"/>
  <c r="K17" i="28"/>
  <c r="L17" i="28"/>
  <c r="M17" i="28" s="1"/>
  <c r="K18" i="28"/>
  <c r="L18" i="28" s="1"/>
  <c r="K19" i="28"/>
  <c r="L19" i="28" s="1"/>
  <c r="K20" i="28"/>
  <c r="L20" i="28" s="1"/>
  <c r="K21" i="28"/>
  <c r="L21" i="28"/>
  <c r="M21" i="28" s="1"/>
  <c r="K22" i="28"/>
  <c r="L22" i="28" s="1"/>
  <c r="K23" i="28"/>
  <c r="L23" i="28" s="1"/>
  <c r="K26" i="28"/>
  <c r="L26" i="28" s="1"/>
  <c r="K27" i="28"/>
  <c r="L27" i="28" s="1"/>
  <c r="K28" i="28"/>
  <c r="L28" i="28" s="1"/>
  <c r="K29" i="28"/>
  <c r="L29" i="28"/>
  <c r="M29" i="28" s="1"/>
  <c r="K30" i="28"/>
  <c r="L30" i="28" s="1"/>
  <c r="K31" i="28"/>
  <c r="L31" i="28" s="1"/>
  <c r="K32" i="28"/>
  <c r="L32" i="28" s="1"/>
  <c r="K33" i="28"/>
  <c r="L33" i="28"/>
  <c r="M33" i="28" s="1"/>
  <c r="K34" i="28"/>
  <c r="L34" i="28" s="1"/>
  <c r="K35" i="28"/>
  <c r="L35" i="28" s="1"/>
  <c r="K36" i="28"/>
  <c r="L36" i="28" s="1"/>
  <c r="K7" i="28"/>
  <c r="L7" i="28" s="1"/>
  <c r="K12" i="22"/>
  <c r="L12" i="22" s="1"/>
  <c r="K13" i="22"/>
  <c r="L13" i="22" s="1"/>
  <c r="M13" i="22" s="1"/>
  <c r="K14" i="22"/>
  <c r="K15" i="22"/>
  <c r="L15" i="22" s="1"/>
  <c r="K16" i="22"/>
  <c r="K17" i="22"/>
  <c r="L17" i="22" s="1"/>
  <c r="M17" i="22" s="1"/>
  <c r="K18" i="22"/>
  <c r="K19" i="22"/>
  <c r="L19" i="22" s="1"/>
  <c r="K20" i="22"/>
  <c r="L20" i="22" s="1"/>
  <c r="K21" i="22"/>
  <c r="L21" i="22" s="1"/>
  <c r="M21" i="22" s="1"/>
  <c r="K22" i="22"/>
  <c r="K23" i="22"/>
  <c r="L23" i="22" s="1"/>
  <c r="K24" i="22"/>
  <c r="K25" i="22"/>
  <c r="K26" i="22"/>
  <c r="K27" i="22"/>
  <c r="L27" i="22" s="1"/>
  <c r="K28" i="22"/>
  <c r="L28" i="22" s="1"/>
  <c r="K29" i="22"/>
  <c r="L29" i="22" s="1"/>
  <c r="M29" i="22" s="1"/>
  <c r="K30" i="22"/>
  <c r="K31" i="22"/>
  <c r="L31" i="22" s="1"/>
  <c r="K32" i="22"/>
  <c r="K33" i="22"/>
  <c r="K34" i="22"/>
  <c r="L34" i="22" s="1"/>
  <c r="K35" i="22"/>
  <c r="L35" i="22" s="1"/>
  <c r="K36" i="22"/>
  <c r="L36" i="22" s="1"/>
  <c r="K37" i="22"/>
  <c r="L37" i="22" s="1"/>
  <c r="M37" i="22" s="1"/>
  <c r="K8" i="21"/>
  <c r="K9" i="21"/>
  <c r="K10" i="21"/>
  <c r="K16" i="21"/>
  <c r="L16" i="21" s="1"/>
  <c r="K17" i="21"/>
  <c r="K18" i="21"/>
  <c r="K19" i="21"/>
  <c r="L19" i="21" s="1"/>
  <c r="K20" i="21"/>
  <c r="L20" i="21" s="1"/>
  <c r="K21" i="21"/>
  <c r="L21" i="21" s="1"/>
  <c r="M21" i="21" s="1"/>
  <c r="K22" i="21"/>
  <c r="K23" i="21"/>
  <c r="K24" i="21"/>
  <c r="L24" i="21" s="1"/>
  <c r="K25" i="21"/>
  <c r="K26" i="21"/>
  <c r="L26" i="21" s="1"/>
  <c r="K27" i="21"/>
  <c r="L27" i="21" s="1"/>
  <c r="K28" i="21"/>
  <c r="L28" i="21" s="1"/>
  <c r="K29" i="21"/>
  <c r="L29" i="21" s="1"/>
  <c r="M29" i="21" s="1"/>
  <c r="K30" i="21"/>
  <c r="K31" i="21"/>
  <c r="K32" i="21"/>
  <c r="L32" i="21" s="1"/>
  <c r="K33" i="21"/>
  <c r="L33" i="21" s="1"/>
  <c r="M33" i="21" s="1"/>
  <c r="K34" i="21"/>
  <c r="L34" i="21" s="1"/>
  <c r="K35" i="21"/>
  <c r="L35" i="21" s="1"/>
  <c r="K36" i="21"/>
  <c r="L36" i="21" s="1"/>
  <c r="K37" i="21"/>
  <c r="L37" i="21" s="1"/>
  <c r="M37" i="21" s="1"/>
  <c r="K7" i="21"/>
  <c r="L7" i="21" s="1"/>
  <c r="K8" i="20"/>
  <c r="K9" i="20"/>
  <c r="L9" i="20" s="1"/>
  <c r="K10" i="20"/>
  <c r="L10" i="20" s="1"/>
  <c r="K11" i="20"/>
  <c r="K12" i="20"/>
  <c r="K13" i="20"/>
  <c r="K14" i="20"/>
  <c r="K15" i="20"/>
  <c r="L15" i="20" s="1"/>
  <c r="K16" i="20"/>
  <c r="K17" i="20"/>
  <c r="K18" i="20"/>
  <c r="L18" i="20" s="1"/>
  <c r="K19" i="20"/>
  <c r="K20" i="20"/>
  <c r="K21" i="20"/>
  <c r="K22" i="20"/>
  <c r="K23" i="20"/>
  <c r="L23" i="20" s="1"/>
  <c r="K24" i="20"/>
  <c r="K25" i="20"/>
  <c r="K26" i="20"/>
  <c r="K27" i="20"/>
  <c r="K28" i="20"/>
  <c r="K29" i="20"/>
  <c r="K30" i="20"/>
  <c r="K31" i="20"/>
  <c r="L31" i="20" s="1"/>
  <c r="K32" i="20"/>
  <c r="K33" i="20"/>
  <c r="K34" i="20"/>
  <c r="K35" i="20"/>
  <c r="K36" i="20"/>
  <c r="K7" i="20"/>
  <c r="L7" i="20" s="1"/>
  <c r="L8" i="19"/>
  <c r="M8" i="19" s="1"/>
  <c r="L9" i="19"/>
  <c r="L10" i="19"/>
  <c r="M10" i="19" s="1"/>
  <c r="L11" i="19"/>
  <c r="M11" i="19" s="1"/>
  <c r="L12" i="19"/>
  <c r="M12" i="19"/>
  <c r="L13" i="19"/>
  <c r="N13" i="19" s="1"/>
  <c r="O13" i="19" s="1"/>
  <c r="P13" i="19" s="1"/>
  <c r="M13" i="19"/>
  <c r="L14" i="19"/>
  <c r="M14" i="19"/>
  <c r="N14" i="19"/>
  <c r="O14" i="19" s="1"/>
  <c r="L15" i="19"/>
  <c r="M15" i="19"/>
  <c r="N15" i="19"/>
  <c r="O15" i="19" s="1"/>
  <c r="P15" i="19" s="1"/>
  <c r="L16" i="19"/>
  <c r="M16" i="19" s="1"/>
  <c r="N16" i="19"/>
  <c r="O16" i="19" s="1"/>
  <c r="L17" i="19"/>
  <c r="N17" i="19"/>
  <c r="O17" i="19" s="1"/>
  <c r="L18" i="19"/>
  <c r="M18" i="19" s="1"/>
  <c r="L19" i="19"/>
  <c r="M19" i="19" s="1"/>
  <c r="L20" i="19"/>
  <c r="N20" i="19" s="1"/>
  <c r="O20" i="19" s="1"/>
  <c r="M20" i="19"/>
  <c r="P20" i="19" s="1"/>
  <c r="L21" i="19"/>
  <c r="N21" i="19" s="1"/>
  <c r="O21" i="19" s="1"/>
  <c r="P21" i="19" s="1"/>
  <c r="M21" i="19"/>
  <c r="L22" i="19"/>
  <c r="M22" i="19"/>
  <c r="N22" i="19"/>
  <c r="O22" i="19" s="1"/>
  <c r="L23" i="19"/>
  <c r="M23" i="19"/>
  <c r="N23" i="19"/>
  <c r="O23" i="19" s="1"/>
  <c r="P23" i="19" s="1"/>
  <c r="L24" i="19"/>
  <c r="M24" i="19" s="1"/>
  <c r="N24" i="19"/>
  <c r="O24" i="19" s="1"/>
  <c r="L25" i="19"/>
  <c r="N25" i="19"/>
  <c r="O25" i="19" s="1"/>
  <c r="L26" i="19"/>
  <c r="M26" i="19" s="1"/>
  <c r="L27" i="19"/>
  <c r="M27" i="19" s="1"/>
  <c r="L28" i="19"/>
  <c r="N28" i="19" s="1"/>
  <c r="O28" i="19" s="1"/>
  <c r="M28" i="19"/>
  <c r="P28" i="19" s="1"/>
  <c r="L29" i="19"/>
  <c r="N29" i="19" s="1"/>
  <c r="O29" i="19" s="1"/>
  <c r="P29" i="19" s="1"/>
  <c r="M29" i="19"/>
  <c r="L30" i="19"/>
  <c r="M30" i="19"/>
  <c r="N30" i="19"/>
  <c r="O30" i="19" s="1"/>
  <c r="L31" i="19"/>
  <c r="M31" i="19"/>
  <c r="N31" i="19"/>
  <c r="O31" i="19" s="1"/>
  <c r="P31" i="19" s="1"/>
  <c r="L32" i="19"/>
  <c r="M32" i="19" s="1"/>
  <c r="N32" i="19"/>
  <c r="O32" i="19" s="1"/>
  <c r="L33" i="19"/>
  <c r="N33" i="19"/>
  <c r="O33" i="19" s="1"/>
  <c r="L34" i="19"/>
  <c r="M34" i="19" s="1"/>
  <c r="N34" i="19"/>
  <c r="O34" i="19"/>
  <c r="L35" i="19"/>
  <c r="M35" i="19" s="1"/>
  <c r="L36" i="19"/>
  <c r="M36" i="19"/>
  <c r="L37" i="19"/>
  <c r="N37" i="19" s="1"/>
  <c r="O37" i="19" s="1"/>
  <c r="P37" i="19" s="1"/>
  <c r="M37" i="19"/>
  <c r="N7" i="19"/>
  <c r="O7" i="19" s="1"/>
  <c r="L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7" i="19"/>
  <c r="L8" i="20"/>
  <c r="L11" i="20"/>
  <c r="L12" i="20"/>
  <c r="L13" i="20"/>
  <c r="M13" i="20" s="1"/>
  <c r="L14" i="20"/>
  <c r="L16" i="20"/>
  <c r="L17" i="20"/>
  <c r="M17" i="20" s="1"/>
  <c r="L19" i="20"/>
  <c r="L20" i="20"/>
  <c r="L21" i="20"/>
  <c r="L22" i="20"/>
  <c r="L24" i="20"/>
  <c r="L25" i="20"/>
  <c r="M25" i="20" s="1"/>
  <c r="L26" i="20"/>
  <c r="L27" i="20"/>
  <c r="L28" i="20"/>
  <c r="L29" i="20"/>
  <c r="M29" i="20" s="1"/>
  <c r="L30" i="20"/>
  <c r="L32" i="20"/>
  <c r="L33" i="20"/>
  <c r="M33" i="20" s="1"/>
  <c r="L34" i="20"/>
  <c r="L35" i="20"/>
  <c r="L36" i="20"/>
  <c r="L8" i="21"/>
  <c r="L9" i="21"/>
  <c r="M9" i="21" s="1"/>
  <c r="L10" i="21"/>
  <c r="L17" i="21"/>
  <c r="M17" i="21" s="1"/>
  <c r="L18" i="21"/>
  <c r="L22" i="21"/>
  <c r="L23" i="21"/>
  <c r="L25" i="21"/>
  <c r="M25" i="21" s="1"/>
  <c r="L30" i="21"/>
  <c r="L31" i="21"/>
  <c r="L14" i="22"/>
  <c r="L16" i="22"/>
  <c r="L18" i="22"/>
  <c r="L22" i="22"/>
  <c r="L24" i="22"/>
  <c r="L25" i="22"/>
  <c r="M25" i="22" s="1"/>
  <c r="L26" i="22"/>
  <c r="L30" i="22"/>
  <c r="L32" i="22"/>
  <c r="L33" i="22"/>
  <c r="M33" i="22" s="1"/>
  <c r="A1" i="18"/>
  <c r="A1" i="28"/>
  <c r="A1" i="19"/>
  <c r="A1" i="20"/>
  <c r="A1" i="21"/>
  <c r="A1" i="22"/>
  <c r="G35" i="18"/>
  <c r="G34" i="18"/>
  <c r="G28" i="18"/>
  <c r="G27" i="18"/>
  <c r="G21" i="18"/>
  <c r="G20" i="18"/>
  <c r="G14" i="18"/>
  <c r="G13" i="18"/>
  <c r="G37" i="18"/>
  <c r="G36" i="18"/>
  <c r="G33" i="18"/>
  <c r="G32" i="18"/>
  <c r="G31" i="18"/>
  <c r="G30" i="18"/>
  <c r="G29" i="18"/>
  <c r="G26" i="18"/>
  <c r="G25" i="18"/>
  <c r="G24" i="18"/>
  <c r="G23" i="18"/>
  <c r="G22" i="18"/>
  <c r="G19" i="18"/>
  <c r="G18" i="18"/>
  <c r="G17" i="18"/>
  <c r="K17" i="18" s="1"/>
  <c r="L17" i="18" s="1"/>
  <c r="M17" i="18" s="1"/>
  <c r="G16" i="18"/>
  <c r="G15" i="18"/>
  <c r="G12" i="18"/>
  <c r="G11" i="18"/>
  <c r="G10" i="18"/>
  <c r="K10" i="18" s="1"/>
  <c r="L10" i="18" s="1"/>
  <c r="G9" i="18"/>
  <c r="G8" i="18"/>
  <c r="G7" i="18"/>
  <c r="G8" i="28"/>
  <c r="G9" i="28"/>
  <c r="G15" i="28"/>
  <c r="G16" i="28"/>
  <c r="G22" i="28"/>
  <c r="G23" i="28"/>
  <c r="G29" i="28"/>
  <c r="G30" i="28"/>
  <c r="G36" i="28"/>
  <c r="G35" i="28"/>
  <c r="G34" i="28"/>
  <c r="G33" i="28"/>
  <c r="G32" i="28"/>
  <c r="G31" i="28"/>
  <c r="G28" i="28"/>
  <c r="G27" i="28"/>
  <c r="G26" i="28"/>
  <c r="G25" i="28"/>
  <c r="K25" i="28" s="1"/>
  <c r="L25" i="28" s="1"/>
  <c r="M25" i="28" s="1"/>
  <c r="G24" i="28"/>
  <c r="K24" i="28" s="1"/>
  <c r="L24" i="28" s="1"/>
  <c r="G21" i="28"/>
  <c r="G20" i="28"/>
  <c r="G19" i="28"/>
  <c r="G18" i="28"/>
  <c r="G17" i="28"/>
  <c r="G14" i="28"/>
  <c r="G13" i="28"/>
  <c r="G12" i="28"/>
  <c r="G11" i="28"/>
  <c r="G10" i="28"/>
  <c r="G7" i="28"/>
  <c r="G10" i="19"/>
  <c r="G9" i="19"/>
  <c r="G8" i="19"/>
  <c r="G7"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36" i="20"/>
  <c r="G33" i="20"/>
  <c r="G32" i="20"/>
  <c r="G31" i="20"/>
  <c r="G30" i="20"/>
  <c r="G29" i="20"/>
  <c r="G26" i="20"/>
  <c r="G25" i="20"/>
  <c r="G24" i="20"/>
  <c r="G23" i="20"/>
  <c r="G22" i="20"/>
  <c r="G19" i="20"/>
  <c r="G18" i="20"/>
  <c r="G17" i="20"/>
  <c r="G16" i="20"/>
  <c r="G15" i="20"/>
  <c r="G12" i="20"/>
  <c r="G11" i="20"/>
  <c r="G10" i="20"/>
  <c r="G9" i="20"/>
  <c r="G8" i="20"/>
  <c r="G35" i="20"/>
  <c r="G34" i="20"/>
  <c r="G28" i="20"/>
  <c r="G27" i="20"/>
  <c r="G21" i="20"/>
  <c r="G20" i="20"/>
  <c r="G14" i="20"/>
  <c r="G13" i="20"/>
  <c r="G7" i="20"/>
  <c r="G37" i="21"/>
  <c r="G31" i="21"/>
  <c r="G30" i="21"/>
  <c r="G24" i="21"/>
  <c r="G23" i="21"/>
  <c r="G17" i="21"/>
  <c r="G16" i="21"/>
  <c r="G10" i="21"/>
  <c r="G9" i="21"/>
  <c r="G34" i="22"/>
  <c r="G33" i="22"/>
  <c r="G27" i="22"/>
  <c r="G26" i="22"/>
  <c r="G20" i="22"/>
  <c r="G19" i="22"/>
  <c r="G13" i="22"/>
  <c r="G12" i="22"/>
  <c r="N26" i="18" l="1"/>
  <c r="O26" i="18" s="1"/>
  <c r="M26" i="18"/>
  <c r="P26" i="18" s="1"/>
  <c r="M20" i="18"/>
  <c r="N20" i="18"/>
  <c r="O20" i="18" s="1"/>
  <c r="P20" i="18" s="1"/>
  <c r="M32" i="18"/>
  <c r="P32" i="18" s="1"/>
  <c r="N32" i="18"/>
  <c r="O32" i="18" s="1"/>
  <c r="M19" i="18"/>
  <c r="P19" i="18" s="1"/>
  <c r="N19" i="18"/>
  <c r="O19" i="18" s="1"/>
  <c r="M31" i="18"/>
  <c r="P31" i="18" s="1"/>
  <c r="N31" i="18"/>
  <c r="O31" i="18" s="1"/>
  <c r="P18" i="18"/>
  <c r="N18" i="18"/>
  <c r="O18" i="18" s="1"/>
  <c r="M18" i="18"/>
  <c r="M12" i="18"/>
  <c r="N12" i="18"/>
  <c r="O12" i="18" s="1"/>
  <c r="P12" i="18"/>
  <c r="N30" i="18"/>
  <c r="O30" i="18" s="1"/>
  <c r="M30" i="18"/>
  <c r="P30" i="18" s="1"/>
  <c r="M24" i="18"/>
  <c r="P24" i="18" s="1"/>
  <c r="N24" i="18"/>
  <c r="O24" i="18" s="1"/>
  <c r="M11" i="18"/>
  <c r="P11" i="18"/>
  <c r="N11" i="18"/>
  <c r="O11" i="18" s="1"/>
  <c r="M36" i="18"/>
  <c r="P36" i="18" s="1"/>
  <c r="N36" i="18"/>
  <c r="O36" i="18" s="1"/>
  <c r="P23" i="18"/>
  <c r="M23" i="18"/>
  <c r="N23" i="18"/>
  <c r="O23" i="18" s="1"/>
  <c r="N10" i="18"/>
  <c r="O10" i="18" s="1"/>
  <c r="M10" i="18"/>
  <c r="P10" i="18" s="1"/>
  <c r="P38" i="18" s="1"/>
  <c r="P35" i="18"/>
  <c r="M35" i="18"/>
  <c r="N35" i="18"/>
  <c r="O35" i="18" s="1"/>
  <c r="N22" i="18"/>
  <c r="O22" i="18" s="1"/>
  <c r="M22" i="18"/>
  <c r="P22" i="18" s="1"/>
  <c r="M16" i="18"/>
  <c r="N16" i="18"/>
  <c r="O16" i="18" s="1"/>
  <c r="P16" i="18"/>
  <c r="M34" i="18"/>
  <c r="P34" i="18" s="1"/>
  <c r="N34" i="18"/>
  <c r="O34" i="18" s="1"/>
  <c r="M28" i="18"/>
  <c r="N28" i="18"/>
  <c r="O28" i="18" s="1"/>
  <c r="P28" i="18" s="1"/>
  <c r="M15" i="18"/>
  <c r="P15" i="18" s="1"/>
  <c r="N15" i="18"/>
  <c r="O15" i="18" s="1"/>
  <c r="M27" i="18"/>
  <c r="P27" i="18" s="1"/>
  <c r="N27" i="18"/>
  <c r="O27" i="18" s="1"/>
  <c r="P14" i="18"/>
  <c r="N14" i="18"/>
  <c r="O14" i="18" s="1"/>
  <c r="M14" i="18"/>
  <c r="M8" i="18"/>
  <c r="P8" i="18" s="1"/>
  <c r="N8" i="18"/>
  <c r="O8" i="18" s="1"/>
  <c r="N37" i="18"/>
  <c r="O37" i="18" s="1"/>
  <c r="P37" i="18" s="1"/>
  <c r="N33" i="18"/>
  <c r="O33" i="18" s="1"/>
  <c r="P33" i="18" s="1"/>
  <c r="N29" i="18"/>
  <c r="O29" i="18" s="1"/>
  <c r="P29" i="18" s="1"/>
  <c r="N25" i="18"/>
  <c r="O25" i="18" s="1"/>
  <c r="P25" i="18" s="1"/>
  <c r="N21" i="18"/>
  <c r="O21" i="18" s="1"/>
  <c r="P21" i="18" s="1"/>
  <c r="N17" i="18"/>
  <c r="O17" i="18" s="1"/>
  <c r="P17" i="18" s="1"/>
  <c r="N13" i="18"/>
  <c r="O13" i="18" s="1"/>
  <c r="P13" i="18" s="1"/>
  <c r="N9" i="18"/>
  <c r="O9" i="18" s="1"/>
  <c r="P9" i="18" s="1"/>
  <c r="N7" i="18"/>
  <c r="O7" i="18" s="1"/>
  <c r="M7" i="18"/>
  <c r="P7" i="18" s="1"/>
  <c r="M32" i="28"/>
  <c r="N32" i="28"/>
  <c r="O32" i="28" s="1"/>
  <c r="P32" i="28" s="1"/>
  <c r="M19" i="28"/>
  <c r="P19" i="28" s="1"/>
  <c r="N19" i="28"/>
  <c r="O19" i="28" s="1"/>
  <c r="M20" i="28"/>
  <c r="P20" i="28" s="1"/>
  <c r="N20" i="28"/>
  <c r="O20" i="28" s="1"/>
  <c r="M31" i="28"/>
  <c r="P31" i="28" s="1"/>
  <c r="N31" i="28"/>
  <c r="O31" i="28" s="1"/>
  <c r="N18" i="28"/>
  <c r="O18" i="28" s="1"/>
  <c r="M18" i="28"/>
  <c r="P18" i="28" s="1"/>
  <c r="M12" i="28"/>
  <c r="P12" i="28" s="1"/>
  <c r="N12" i="28"/>
  <c r="O12" i="28" s="1"/>
  <c r="N30" i="28"/>
  <c r="O30" i="28" s="1"/>
  <c r="M30" i="28"/>
  <c r="M24" i="28"/>
  <c r="N24" i="28"/>
  <c r="O24" i="28" s="1"/>
  <c r="M11" i="28"/>
  <c r="P11" i="28" s="1"/>
  <c r="N11" i="28"/>
  <c r="O11" i="28" s="1"/>
  <c r="M36" i="28"/>
  <c r="N36" i="28"/>
  <c r="O36" i="28" s="1"/>
  <c r="P36" i="28"/>
  <c r="M23" i="28"/>
  <c r="N23" i="28"/>
  <c r="O23" i="28" s="1"/>
  <c r="P10" i="28"/>
  <c r="N10" i="28"/>
  <c r="O10" i="28" s="1"/>
  <c r="M10" i="28"/>
  <c r="M35" i="28"/>
  <c r="P35" i="28" s="1"/>
  <c r="N35" i="28"/>
  <c r="O35" i="28" s="1"/>
  <c r="N22" i="28"/>
  <c r="O22" i="28" s="1"/>
  <c r="M22" i="28"/>
  <c r="M16" i="28"/>
  <c r="N16" i="28"/>
  <c r="O16" i="28" s="1"/>
  <c r="P16" i="28"/>
  <c r="N34" i="28"/>
  <c r="O34" i="28" s="1"/>
  <c r="M34" i="28"/>
  <c r="P34" i="28" s="1"/>
  <c r="M28" i="28"/>
  <c r="N28" i="28"/>
  <c r="O28" i="28" s="1"/>
  <c r="P28" i="28" s="1"/>
  <c r="M15" i="28"/>
  <c r="P15" i="28" s="1"/>
  <c r="N15" i="28"/>
  <c r="O15" i="28" s="1"/>
  <c r="N26" i="28"/>
  <c r="O26" i="28" s="1"/>
  <c r="M26" i="28"/>
  <c r="P26" i="28" s="1"/>
  <c r="M27" i="28"/>
  <c r="P27" i="28" s="1"/>
  <c r="N27" i="28"/>
  <c r="O27" i="28" s="1"/>
  <c r="N14" i="28"/>
  <c r="O14" i="28" s="1"/>
  <c r="P14" i="28" s="1"/>
  <c r="M14" i="28"/>
  <c r="M8" i="28"/>
  <c r="P8" i="28" s="1"/>
  <c r="N8" i="28"/>
  <c r="O8" i="28" s="1"/>
  <c r="P21" i="28"/>
  <c r="P13" i="28"/>
  <c r="N33" i="28"/>
  <c r="O33" i="28" s="1"/>
  <c r="P33" i="28" s="1"/>
  <c r="N29" i="28"/>
  <c r="O29" i="28" s="1"/>
  <c r="P29" i="28" s="1"/>
  <c r="N25" i="28"/>
  <c r="O25" i="28" s="1"/>
  <c r="P25" i="28" s="1"/>
  <c r="N21" i="28"/>
  <c r="O21" i="28" s="1"/>
  <c r="N17" i="28"/>
  <c r="O17" i="28" s="1"/>
  <c r="P17" i="28" s="1"/>
  <c r="N13" i="28"/>
  <c r="O13" i="28" s="1"/>
  <c r="N9" i="28"/>
  <c r="O9" i="28" s="1"/>
  <c r="P9" i="28" s="1"/>
  <c r="N7" i="28"/>
  <c r="O7" i="28" s="1"/>
  <c r="M7" i="28"/>
  <c r="P7" i="28" s="1"/>
  <c r="P30" i="19"/>
  <c r="P22" i="19"/>
  <c r="P14" i="19"/>
  <c r="P9" i="19"/>
  <c r="P25" i="19"/>
  <c r="N9" i="19"/>
  <c r="O9" i="19" s="1"/>
  <c r="N36" i="19"/>
  <c r="O36" i="19" s="1"/>
  <c r="P36" i="19" s="1"/>
  <c r="P34" i="19"/>
  <c r="M33" i="19"/>
  <c r="P33" i="19" s="1"/>
  <c r="M25" i="19"/>
  <c r="M17" i="19"/>
  <c r="P17" i="19" s="1"/>
  <c r="N12" i="19"/>
  <c r="O12" i="19" s="1"/>
  <c r="P12" i="19" s="1"/>
  <c r="P10" i="19"/>
  <c r="M9" i="19"/>
  <c r="P32" i="19"/>
  <c r="N26" i="19"/>
  <c r="O26" i="19" s="1"/>
  <c r="P26" i="19" s="1"/>
  <c r="P24" i="19"/>
  <c r="N18" i="19"/>
  <c r="O18" i="19" s="1"/>
  <c r="P18" i="19" s="1"/>
  <c r="P16" i="19"/>
  <c r="N10" i="19"/>
  <c r="O10" i="19" s="1"/>
  <c r="P35" i="19"/>
  <c r="P27" i="19"/>
  <c r="P19" i="19"/>
  <c r="N8" i="19"/>
  <c r="O8" i="19" s="1"/>
  <c r="P8" i="19" s="1"/>
  <c r="N35" i="19"/>
  <c r="O35" i="19" s="1"/>
  <c r="N27" i="19"/>
  <c r="O27" i="19" s="1"/>
  <c r="N19" i="19"/>
  <c r="O19" i="19" s="1"/>
  <c r="N11" i="19"/>
  <c r="O11" i="19" s="1"/>
  <c r="P11" i="19" s="1"/>
  <c r="M7" i="19"/>
  <c r="P7" i="19" s="1"/>
  <c r="M8" i="20"/>
  <c r="N8" i="20"/>
  <c r="O8" i="20" s="1"/>
  <c r="M28" i="20"/>
  <c r="N28" i="20"/>
  <c r="O28" i="20" s="1"/>
  <c r="M26" i="20"/>
  <c r="N26" i="20"/>
  <c r="O26" i="20" s="1"/>
  <c r="P26" i="20" s="1"/>
  <c r="M19" i="20"/>
  <c r="P19" i="20" s="1"/>
  <c r="N19" i="20"/>
  <c r="O19" i="20" s="1"/>
  <c r="M35" i="20"/>
  <c r="N35" i="20"/>
  <c r="O35" i="20" s="1"/>
  <c r="P35" i="20" s="1"/>
  <c r="M15" i="20"/>
  <c r="N15" i="20"/>
  <c r="O15" i="20" s="1"/>
  <c r="M21" i="20"/>
  <c r="N21" i="20"/>
  <c r="O21" i="20" s="1"/>
  <c r="M20" i="20"/>
  <c r="P20" i="20" s="1"/>
  <c r="N20" i="20"/>
  <c r="O20" i="20" s="1"/>
  <c r="M32" i="20"/>
  <c r="P32" i="20" s="1"/>
  <c r="N32" i="20"/>
  <c r="O32" i="20" s="1"/>
  <c r="M18" i="20"/>
  <c r="N18" i="20"/>
  <c r="O18" i="20" s="1"/>
  <c r="P18" i="20" s="1"/>
  <c r="M12" i="20"/>
  <c r="P12" i="20" s="1"/>
  <c r="N12" i="20"/>
  <c r="O12" i="20" s="1"/>
  <c r="M34" i="20"/>
  <c r="P34" i="20" s="1"/>
  <c r="N34" i="20"/>
  <c r="O34" i="20" s="1"/>
  <c r="M14" i="20"/>
  <c r="N14" i="20"/>
  <c r="O14" i="20" s="1"/>
  <c r="M27" i="20"/>
  <c r="N27" i="20"/>
  <c r="O27" i="20" s="1"/>
  <c r="M31" i="20"/>
  <c r="P31" i="20" s="1"/>
  <c r="N31" i="20"/>
  <c r="O31" i="20" s="1"/>
  <c r="M11" i="20"/>
  <c r="N11" i="20"/>
  <c r="O11" i="20" s="1"/>
  <c r="M22" i="20"/>
  <c r="N22" i="20"/>
  <c r="O22" i="20" s="1"/>
  <c r="N30" i="20"/>
  <c r="O30" i="20" s="1"/>
  <c r="M30" i="20"/>
  <c r="M24" i="20"/>
  <c r="P24" i="20" s="1"/>
  <c r="N24" i="20"/>
  <c r="O24" i="20" s="1"/>
  <c r="N10" i="20"/>
  <c r="O10" i="20" s="1"/>
  <c r="P10" i="20" s="1"/>
  <c r="M10" i="20"/>
  <c r="M36" i="20"/>
  <c r="N36" i="20"/>
  <c r="O36" i="20" s="1"/>
  <c r="M23" i="20"/>
  <c r="N23" i="20"/>
  <c r="O23" i="20" s="1"/>
  <c r="M16" i="20"/>
  <c r="P16" i="20" s="1"/>
  <c r="N16" i="20"/>
  <c r="O16" i="20" s="1"/>
  <c r="M9" i="20"/>
  <c r="P9" i="20" s="1"/>
  <c r="N9" i="20"/>
  <c r="O9" i="20" s="1"/>
  <c r="P25" i="20"/>
  <c r="N33" i="20"/>
  <c r="O33" i="20" s="1"/>
  <c r="P33" i="20" s="1"/>
  <c r="N29" i="20"/>
  <c r="O29" i="20" s="1"/>
  <c r="P29" i="20" s="1"/>
  <c r="N25" i="20"/>
  <c r="O25" i="20" s="1"/>
  <c r="N17" i="20"/>
  <c r="O17" i="20" s="1"/>
  <c r="P17" i="20" s="1"/>
  <c r="N13" i="20"/>
  <c r="O13" i="20" s="1"/>
  <c r="P13" i="20" s="1"/>
  <c r="N7" i="20"/>
  <c r="O7" i="20" s="1"/>
  <c r="M7" i="20"/>
  <c r="N26" i="21"/>
  <c r="O26" i="21" s="1"/>
  <c r="M26" i="21"/>
  <c r="M20" i="21"/>
  <c r="N20" i="21"/>
  <c r="O20" i="21" s="1"/>
  <c r="M32" i="21"/>
  <c r="N32" i="21"/>
  <c r="O32" i="21" s="1"/>
  <c r="M19" i="21"/>
  <c r="N19" i="21"/>
  <c r="O19" i="21" s="1"/>
  <c r="N30" i="21"/>
  <c r="O30" i="21" s="1"/>
  <c r="M30" i="21"/>
  <c r="P30" i="21" s="1"/>
  <c r="M24" i="21"/>
  <c r="N24" i="21"/>
  <c r="O24" i="21" s="1"/>
  <c r="M36" i="21"/>
  <c r="N36" i="21"/>
  <c r="O36" i="21" s="1"/>
  <c r="P36" i="21" s="1"/>
  <c r="M23" i="21"/>
  <c r="N23" i="21"/>
  <c r="O23" i="21" s="1"/>
  <c r="P23" i="21" s="1"/>
  <c r="N10" i="21"/>
  <c r="O10" i="21" s="1"/>
  <c r="M10" i="21"/>
  <c r="N18" i="21"/>
  <c r="O18" i="21" s="1"/>
  <c r="M18" i="21"/>
  <c r="M35" i="21"/>
  <c r="N35" i="21"/>
  <c r="O35" i="21" s="1"/>
  <c r="N22" i="21"/>
  <c r="O22" i="21" s="1"/>
  <c r="M22" i="21"/>
  <c r="P22" i="21" s="1"/>
  <c r="M16" i="21"/>
  <c r="N16" i="21"/>
  <c r="O16" i="21" s="1"/>
  <c r="P16" i="21" s="1"/>
  <c r="M28" i="21"/>
  <c r="N28" i="21"/>
  <c r="O28" i="21" s="1"/>
  <c r="M31" i="21"/>
  <c r="N31" i="21"/>
  <c r="O31" i="21" s="1"/>
  <c r="M34" i="21"/>
  <c r="N34" i="21"/>
  <c r="O34" i="21" s="1"/>
  <c r="M27" i="21"/>
  <c r="N27" i="21"/>
  <c r="O27" i="21" s="1"/>
  <c r="M8" i="21"/>
  <c r="N8" i="21"/>
  <c r="O8" i="21" s="1"/>
  <c r="N37" i="21"/>
  <c r="O37" i="21" s="1"/>
  <c r="P37" i="21" s="1"/>
  <c r="N33" i="21"/>
  <c r="O33" i="21" s="1"/>
  <c r="P33" i="21" s="1"/>
  <c r="N29" i="21"/>
  <c r="O29" i="21" s="1"/>
  <c r="P29" i="21" s="1"/>
  <c r="N25" i="21"/>
  <c r="O25" i="21" s="1"/>
  <c r="P25" i="21" s="1"/>
  <c r="N21" i="21"/>
  <c r="O21" i="21" s="1"/>
  <c r="P21" i="21" s="1"/>
  <c r="N17" i="21"/>
  <c r="O17" i="21" s="1"/>
  <c r="P17" i="21" s="1"/>
  <c r="N9" i="21"/>
  <c r="O9" i="21" s="1"/>
  <c r="P9" i="21" s="1"/>
  <c r="N7" i="21"/>
  <c r="O7" i="21" s="1"/>
  <c r="M7" i="21"/>
  <c r="M32" i="22"/>
  <c r="N32" i="22"/>
  <c r="O32" i="22" s="1"/>
  <c r="M19" i="22"/>
  <c r="N19" i="22"/>
  <c r="O19" i="22" s="1"/>
  <c r="M31" i="22"/>
  <c r="N31" i="22"/>
  <c r="O31" i="22" s="1"/>
  <c r="N18" i="22"/>
  <c r="O18" i="22" s="1"/>
  <c r="M18" i="22"/>
  <c r="M12" i="22"/>
  <c r="N12" i="22"/>
  <c r="O12" i="22" s="1"/>
  <c r="M36" i="22"/>
  <c r="N36" i="22"/>
  <c r="O36" i="22" s="1"/>
  <c r="P36" i="22" s="1"/>
  <c r="N26" i="22"/>
  <c r="O26" i="22" s="1"/>
  <c r="M26" i="22"/>
  <c r="M24" i="22"/>
  <c r="N24" i="22"/>
  <c r="O24" i="22" s="1"/>
  <c r="M23" i="22"/>
  <c r="N23" i="22"/>
  <c r="O23" i="22" s="1"/>
  <c r="M35" i="22"/>
  <c r="N35" i="22"/>
  <c r="O35" i="22" s="1"/>
  <c r="P35" i="22" s="1"/>
  <c r="N22" i="22"/>
  <c r="O22" i="22" s="1"/>
  <c r="M22" i="22"/>
  <c r="M16" i="22"/>
  <c r="N16" i="22"/>
  <c r="O16" i="22" s="1"/>
  <c r="M20" i="22"/>
  <c r="P20" i="22" s="1"/>
  <c r="N20" i="22"/>
  <c r="O20" i="22" s="1"/>
  <c r="N30" i="22"/>
  <c r="O30" i="22" s="1"/>
  <c r="M30" i="22"/>
  <c r="N34" i="22"/>
  <c r="O34" i="22" s="1"/>
  <c r="M34" i="22"/>
  <c r="M28" i="22"/>
  <c r="N28" i="22"/>
  <c r="O28" i="22" s="1"/>
  <c r="P28" i="22" s="1"/>
  <c r="M15" i="22"/>
  <c r="N15" i="22"/>
  <c r="O15" i="22" s="1"/>
  <c r="M27" i="22"/>
  <c r="N27" i="22"/>
  <c r="O27" i="22" s="1"/>
  <c r="N14" i="22"/>
  <c r="O14" i="22" s="1"/>
  <c r="M14" i="22"/>
  <c r="N37" i="22"/>
  <c r="O37" i="22" s="1"/>
  <c r="P37" i="22" s="1"/>
  <c r="N33" i="22"/>
  <c r="O33" i="22" s="1"/>
  <c r="P33" i="22" s="1"/>
  <c r="N29" i="22"/>
  <c r="O29" i="22" s="1"/>
  <c r="P29" i="22" s="1"/>
  <c r="N25" i="22"/>
  <c r="O25" i="22" s="1"/>
  <c r="P25" i="22" s="1"/>
  <c r="N21" i="22"/>
  <c r="O21" i="22" s="1"/>
  <c r="P21" i="22" s="1"/>
  <c r="N17" i="22"/>
  <c r="O17" i="22" s="1"/>
  <c r="P17" i="22" s="1"/>
  <c r="N13" i="22"/>
  <c r="O13" i="22" s="1"/>
  <c r="P13" i="22" s="1"/>
  <c r="C8" i="18" a="1"/>
  <c r="C8" i="18" s="1"/>
  <c r="C9" i="18" a="1"/>
  <c r="C9" i="18" s="1"/>
  <c r="C10" i="18" a="1"/>
  <c r="C10" i="18"/>
  <c r="C11" i="18" a="1"/>
  <c r="C11" i="18"/>
  <c r="C12" i="18" a="1"/>
  <c r="C12" i="18" s="1"/>
  <c r="C13" i="18" a="1"/>
  <c r="C13" i="18" s="1"/>
  <c r="C14" i="18" a="1"/>
  <c r="C14" i="18"/>
  <c r="C15" i="18" a="1"/>
  <c r="C15" i="18" s="1"/>
  <c r="C16" i="18" a="1"/>
  <c r="C16" i="18" s="1"/>
  <c r="C17" i="18" a="1"/>
  <c r="C17" i="18" s="1"/>
  <c r="C18" i="18" a="1"/>
  <c r="C18" i="18"/>
  <c r="C19" i="18" a="1"/>
  <c r="C19" i="18" s="1"/>
  <c r="C20" i="18" a="1"/>
  <c r="C20" i="18" s="1"/>
  <c r="C21" i="18" a="1"/>
  <c r="C21" i="18" s="1"/>
  <c r="C22" i="18" a="1"/>
  <c r="C22" i="18"/>
  <c r="C23" i="18" a="1"/>
  <c r="C23" i="18" s="1"/>
  <c r="C24" i="18" a="1"/>
  <c r="C24" i="18" s="1"/>
  <c r="C25" i="18" a="1"/>
  <c r="C25" i="18" s="1"/>
  <c r="C26" i="18" a="1"/>
  <c r="C26" i="18"/>
  <c r="C27" i="18" a="1"/>
  <c r="C27" i="18" s="1"/>
  <c r="C28" i="18" a="1"/>
  <c r="C28" i="18" s="1"/>
  <c r="C29" i="18" a="1"/>
  <c r="C29" i="18" s="1"/>
  <c r="C30" i="18" a="1"/>
  <c r="C30" i="18" s="1"/>
  <c r="C31" i="18" a="1"/>
  <c r="C31" i="18" s="1"/>
  <c r="C32" i="18" a="1"/>
  <c r="C32" i="18" s="1"/>
  <c r="C33" i="18" a="1"/>
  <c r="C33" i="18" s="1"/>
  <c r="C34" i="18" a="1"/>
  <c r="C34" i="18"/>
  <c r="C35" i="18" a="1"/>
  <c r="C35" i="18" s="1"/>
  <c r="C36" i="18" a="1"/>
  <c r="C36" i="18" s="1"/>
  <c r="C37" i="18" a="1"/>
  <c r="C37" i="18" s="1"/>
  <c r="C8" i="28" a="1"/>
  <c r="C8" i="28" s="1"/>
  <c r="C9" i="28" a="1"/>
  <c r="C9" i="28" s="1"/>
  <c r="C10" i="28" a="1"/>
  <c r="C10" i="28" s="1"/>
  <c r="C11" i="28" a="1"/>
  <c r="C11" i="28"/>
  <c r="C12" i="28" a="1"/>
  <c r="C12" i="28" s="1"/>
  <c r="C13" i="28" a="1"/>
  <c r="C13" i="28" s="1"/>
  <c r="C14" i="28" a="1"/>
  <c r="C14" i="28" s="1"/>
  <c r="C15" i="28" a="1"/>
  <c r="C15" i="28"/>
  <c r="C16" i="28" a="1"/>
  <c r="C16" i="28" s="1"/>
  <c r="C17" i="28" a="1"/>
  <c r="C17" i="28" s="1"/>
  <c r="C18" i="28" a="1"/>
  <c r="C18" i="28" s="1"/>
  <c r="C19" i="28" a="1"/>
  <c r="C19" i="28"/>
  <c r="C20" i="28" a="1"/>
  <c r="C20" i="28" s="1"/>
  <c r="C21" i="28" a="1"/>
  <c r="C21" i="28" s="1"/>
  <c r="C22" i="28" a="1"/>
  <c r="C22" i="28" s="1"/>
  <c r="C23" i="28" a="1"/>
  <c r="C23" i="28"/>
  <c r="C24" i="28" a="1"/>
  <c r="C24" i="28" s="1"/>
  <c r="C25" i="28" a="1"/>
  <c r="C25" i="28" s="1"/>
  <c r="C26" i="28" a="1"/>
  <c r="C26" i="28" s="1"/>
  <c r="C27" i="28" a="1"/>
  <c r="C27" i="28"/>
  <c r="C28" i="28" a="1"/>
  <c r="C28" i="28" s="1"/>
  <c r="C29" i="28" a="1"/>
  <c r="C29" i="28" s="1"/>
  <c r="C30" i="28" a="1"/>
  <c r="C30" i="28" s="1"/>
  <c r="C31" i="28" a="1"/>
  <c r="C31" i="28"/>
  <c r="C32" i="28" a="1"/>
  <c r="C32" i="28" s="1"/>
  <c r="C33" i="28" a="1"/>
  <c r="C33" i="28" s="1"/>
  <c r="C34" i="28" a="1"/>
  <c r="C34" i="28" s="1"/>
  <c r="C35" i="28" a="1"/>
  <c r="C35" i="28"/>
  <c r="C36" i="28" a="1"/>
  <c r="C36" i="28" s="1"/>
  <c r="C8" i="19" a="1"/>
  <c r="C8" i="19" s="1"/>
  <c r="C9" i="19" a="1"/>
  <c r="C9" i="19" s="1"/>
  <c r="C10" i="19" a="1"/>
  <c r="C10" i="19" s="1"/>
  <c r="C11" i="19" a="1"/>
  <c r="C11" i="19"/>
  <c r="C12" i="19" a="1"/>
  <c r="C12" i="19" s="1"/>
  <c r="C13" i="19" a="1"/>
  <c r="C13" i="19" s="1"/>
  <c r="C14" i="19" a="1"/>
  <c r="C14" i="19" s="1"/>
  <c r="C15" i="19" a="1"/>
  <c r="C15" i="19"/>
  <c r="C16" i="19" a="1"/>
  <c r="C16" i="19" s="1"/>
  <c r="C17" i="19" a="1"/>
  <c r="C17" i="19" s="1"/>
  <c r="C18" i="19" a="1"/>
  <c r="C18" i="19" s="1"/>
  <c r="C19" i="19" a="1"/>
  <c r="C19" i="19"/>
  <c r="C20" i="19" a="1"/>
  <c r="C20" i="19" s="1"/>
  <c r="C21" i="19" a="1"/>
  <c r="C21" i="19" s="1"/>
  <c r="C22" i="19" a="1"/>
  <c r="C22" i="19" s="1"/>
  <c r="C23" i="19" a="1"/>
  <c r="C23" i="19"/>
  <c r="C24" i="19" a="1"/>
  <c r="C24" i="19" s="1"/>
  <c r="C25" i="19" a="1"/>
  <c r="C25" i="19" s="1"/>
  <c r="C26" i="19" a="1"/>
  <c r="C26" i="19" s="1"/>
  <c r="C27" i="19" a="1"/>
  <c r="C27" i="19"/>
  <c r="C28" i="19" a="1"/>
  <c r="C28" i="19" s="1"/>
  <c r="C29" i="19" a="1"/>
  <c r="C29" i="19" s="1"/>
  <c r="C30" i="19" a="1"/>
  <c r="C30" i="19" s="1"/>
  <c r="C31" i="19" a="1"/>
  <c r="C31" i="19"/>
  <c r="C32" i="19" a="1"/>
  <c r="C32" i="19" s="1"/>
  <c r="C33" i="19" a="1"/>
  <c r="C33" i="19" s="1"/>
  <c r="C34" i="19" a="1"/>
  <c r="C34" i="19" s="1"/>
  <c r="C35" i="19" a="1"/>
  <c r="C35" i="19"/>
  <c r="C36" i="19" a="1"/>
  <c r="C36" i="19" s="1"/>
  <c r="C37" i="19" a="1"/>
  <c r="C37" i="19" s="1"/>
  <c r="G12" i="19"/>
  <c r="G11" i="19"/>
  <c r="C8" i="20" a="1"/>
  <c r="C8" i="20" s="1"/>
  <c r="C9" i="20" a="1"/>
  <c r="C9" i="20" s="1"/>
  <c r="C10" i="20" a="1"/>
  <c r="C10" i="20" s="1"/>
  <c r="C11" i="20" a="1"/>
  <c r="C11" i="20" s="1"/>
  <c r="C12" i="20" a="1"/>
  <c r="C12" i="20" s="1"/>
  <c r="C13" i="20" a="1"/>
  <c r="C13" i="20" s="1"/>
  <c r="C14" i="20" a="1"/>
  <c r="C14" i="20" s="1"/>
  <c r="C15" i="20" a="1"/>
  <c r="C15" i="20" s="1"/>
  <c r="C16" i="20" a="1"/>
  <c r="C16" i="20" s="1"/>
  <c r="C17" i="20" a="1"/>
  <c r="C17" i="20" s="1"/>
  <c r="C18" i="20" a="1"/>
  <c r="C18" i="20" s="1"/>
  <c r="C19" i="20" a="1"/>
  <c r="C19" i="20" s="1"/>
  <c r="C20" i="20" a="1"/>
  <c r="C20" i="20" s="1"/>
  <c r="C21" i="20" a="1"/>
  <c r="C21" i="20" s="1"/>
  <c r="C22" i="20" a="1"/>
  <c r="C22" i="20" s="1"/>
  <c r="C23" i="20" a="1"/>
  <c r="C23" i="20" s="1"/>
  <c r="C24" i="20" a="1"/>
  <c r="C24" i="20" s="1"/>
  <c r="C25" i="20" a="1"/>
  <c r="C25" i="20" s="1"/>
  <c r="C26" i="20" a="1"/>
  <c r="C26" i="20" s="1"/>
  <c r="C27" i="20" a="1"/>
  <c r="C27" i="20" s="1"/>
  <c r="C28" i="20" a="1"/>
  <c r="C28" i="20" s="1"/>
  <c r="C29" i="20" a="1"/>
  <c r="C29" i="20" s="1"/>
  <c r="C30" i="20" a="1"/>
  <c r="C30" i="20" s="1"/>
  <c r="C31" i="20" a="1"/>
  <c r="C31" i="20" s="1"/>
  <c r="C32" i="20" a="1"/>
  <c r="C32" i="20" s="1"/>
  <c r="C33" i="20" a="1"/>
  <c r="C33" i="20" s="1"/>
  <c r="C34" i="20" a="1"/>
  <c r="C34" i="20" s="1"/>
  <c r="C35" i="20" a="1"/>
  <c r="C35" i="20" s="1"/>
  <c r="C36" i="20" a="1"/>
  <c r="C36" i="20" s="1"/>
  <c r="C8" i="21" a="1"/>
  <c r="C8" i="21" s="1"/>
  <c r="C9" i="21" a="1"/>
  <c r="C9" i="21" s="1"/>
  <c r="C10" i="21" a="1"/>
  <c r="C10" i="21"/>
  <c r="C11" i="21" a="1"/>
  <c r="C11" i="21"/>
  <c r="C12" i="21" a="1"/>
  <c r="C12" i="21" s="1"/>
  <c r="C13" i="21" a="1"/>
  <c r="C13" i="21" s="1"/>
  <c r="C14" i="21" a="1"/>
  <c r="C14" i="21"/>
  <c r="C15" i="21" a="1"/>
  <c r="C15" i="21"/>
  <c r="C16" i="21" a="1"/>
  <c r="C16" i="21" s="1"/>
  <c r="C17" i="21" a="1"/>
  <c r="C17" i="21" s="1"/>
  <c r="C18" i="21" a="1"/>
  <c r="C18" i="21"/>
  <c r="C19" i="21" a="1"/>
  <c r="C19" i="21"/>
  <c r="C20" i="21" a="1"/>
  <c r="C20" i="21" s="1"/>
  <c r="C21" i="21" a="1"/>
  <c r="C21" i="21" s="1"/>
  <c r="C22" i="21" a="1"/>
  <c r="C22" i="21"/>
  <c r="C23" i="21" a="1"/>
  <c r="C23" i="21"/>
  <c r="C24" i="21" a="1"/>
  <c r="C24" i="21" s="1"/>
  <c r="C25" i="21" a="1"/>
  <c r="C25" i="21" s="1"/>
  <c r="C26" i="21" a="1"/>
  <c r="C26" i="21"/>
  <c r="C27" i="21" a="1"/>
  <c r="C27" i="21"/>
  <c r="C28" i="21" a="1"/>
  <c r="C28" i="21" s="1"/>
  <c r="C29" i="21" a="1"/>
  <c r="C29" i="21" s="1"/>
  <c r="C30" i="21" a="1"/>
  <c r="C30" i="21"/>
  <c r="C31" i="21" a="1"/>
  <c r="C31" i="21"/>
  <c r="C32" i="21" a="1"/>
  <c r="C32" i="21" s="1"/>
  <c r="C33" i="21" a="1"/>
  <c r="C33" i="21" s="1"/>
  <c r="C34" i="21" a="1"/>
  <c r="C34" i="21"/>
  <c r="C35" i="21" a="1"/>
  <c r="C35" i="21"/>
  <c r="C36" i="21" a="1"/>
  <c r="C36" i="21" s="1"/>
  <c r="C37" i="21" a="1"/>
  <c r="C37" i="21" s="1"/>
  <c r="A7" i="22"/>
  <c r="C7" i="18" a="1"/>
  <c r="C7" i="18" s="1"/>
  <c r="C7" i="28" a="1"/>
  <c r="C7" i="28" s="1"/>
  <c r="C7" i="19" a="1"/>
  <c r="C7" i="19" s="1"/>
  <c r="C7" i="20" a="1"/>
  <c r="C7" i="20" s="1"/>
  <c r="C7" i="21" a="1"/>
  <c r="C7" i="21" s="1"/>
  <c r="C8" i="22" a="1"/>
  <c r="C8" i="22" s="1"/>
  <c r="C9" i="22" a="1"/>
  <c r="C9" i="22" s="1"/>
  <c r="C10" i="22" a="1"/>
  <c r="C10" i="22" s="1"/>
  <c r="C11" i="22" a="1"/>
  <c r="C11" i="22"/>
  <c r="C12" i="22" a="1"/>
  <c r="C12" i="22" s="1"/>
  <c r="C13" i="22" a="1"/>
  <c r="C13" i="22" s="1"/>
  <c r="C14" i="22" a="1"/>
  <c r="C14" i="22" s="1"/>
  <c r="C15" i="22" a="1"/>
  <c r="C15" i="22"/>
  <c r="C16" i="22" a="1"/>
  <c r="C16" i="22" s="1"/>
  <c r="C17" i="22" a="1"/>
  <c r="C17" i="22" s="1"/>
  <c r="C18" i="22" a="1"/>
  <c r="C18" i="22" s="1"/>
  <c r="C19" i="22" a="1"/>
  <c r="C19" i="22"/>
  <c r="C20" i="22" a="1"/>
  <c r="C20" i="22" s="1"/>
  <c r="C21" i="22" a="1"/>
  <c r="C21" i="22" s="1"/>
  <c r="C22" i="22" a="1"/>
  <c r="C22" i="22" s="1"/>
  <c r="C23" i="22" a="1"/>
  <c r="C23" i="22"/>
  <c r="C24" i="22" a="1"/>
  <c r="C24" i="22" s="1"/>
  <c r="C25" i="22" a="1"/>
  <c r="C25" i="22" s="1"/>
  <c r="C26" i="22" a="1"/>
  <c r="C26" i="22" s="1"/>
  <c r="C27" i="22" a="1"/>
  <c r="C27" i="22"/>
  <c r="C28" i="22" a="1"/>
  <c r="C28" i="22" s="1"/>
  <c r="C29" i="22" a="1"/>
  <c r="C29" i="22" s="1"/>
  <c r="C30" i="22" a="1"/>
  <c r="C30" i="22" s="1"/>
  <c r="C31" i="22" a="1"/>
  <c r="C31" i="22"/>
  <c r="C32" i="22" a="1"/>
  <c r="C32" i="22" s="1"/>
  <c r="C33" i="22" a="1"/>
  <c r="C33" i="22" s="1"/>
  <c r="C34" i="22" a="1"/>
  <c r="C34" i="22" s="1"/>
  <c r="C35" i="22" a="1"/>
  <c r="C35" i="22"/>
  <c r="C36" i="22" a="1"/>
  <c r="C36" i="22" s="1"/>
  <c r="C37" i="22" a="1"/>
  <c r="C37" i="22" s="1"/>
  <c r="C7" i="22" a="1"/>
  <c r="C7" i="22" s="1"/>
  <c r="P23" i="28" l="1"/>
  <c r="P22" i="28"/>
  <c r="P18" i="22"/>
  <c r="P16" i="22"/>
  <c r="P26" i="22"/>
  <c r="P34" i="21"/>
  <c r="P10" i="21"/>
  <c r="P35" i="21"/>
  <c r="P20" i="21"/>
  <c r="P30" i="22"/>
  <c r="P22" i="22"/>
  <c r="P32" i="22"/>
  <c r="P24" i="22"/>
  <c r="C19" i="1"/>
  <c r="P30" i="28"/>
  <c r="P24" i="28"/>
  <c r="P27" i="22"/>
  <c r="P19" i="22"/>
  <c r="P15" i="22"/>
  <c r="P12" i="22"/>
  <c r="P23" i="22"/>
  <c r="P14" i="22"/>
  <c r="P34" i="22"/>
  <c r="P31" i="22"/>
  <c r="P28" i="21"/>
  <c r="P18" i="21"/>
  <c r="P26" i="21"/>
  <c r="P8" i="21"/>
  <c r="P31" i="21"/>
  <c r="P24" i="21"/>
  <c r="P19" i="21"/>
  <c r="P32" i="21"/>
  <c r="P27" i="21"/>
  <c r="P7" i="21"/>
  <c r="P22" i="20"/>
  <c r="P14" i="20"/>
  <c r="P11" i="20"/>
  <c r="P15" i="20"/>
  <c r="P28" i="20"/>
  <c r="P23" i="20"/>
  <c r="P21" i="20"/>
  <c r="P36" i="20"/>
  <c r="P30" i="20"/>
  <c r="P8" i="20"/>
  <c r="P27" i="20"/>
  <c r="P7" i="20"/>
  <c r="B19" i="1"/>
  <c r="B18" i="1"/>
  <c r="B17" i="1"/>
  <c r="B16" i="1"/>
  <c r="B15" i="1"/>
  <c r="B14" i="1"/>
  <c r="B7" i="18"/>
  <c r="A19" i="1" s="1"/>
  <c r="B7" i="28"/>
  <c r="B3" i="28" s="1"/>
  <c r="V15" i="28"/>
  <c r="V9" i="28"/>
  <c r="V14" i="28" s="1"/>
  <c r="V16" i="28" s="1"/>
  <c r="V7" i="28"/>
  <c r="V8" i="28" s="1"/>
  <c r="B7" i="19"/>
  <c r="A7" i="19" s="1"/>
  <c r="B7" i="20"/>
  <c r="A16" i="1" s="1"/>
  <c r="B7" i="21"/>
  <c r="B8" i="21" s="1"/>
  <c r="B7" i="22"/>
  <c r="D7" i="22" s="1"/>
  <c r="B7" i="23"/>
  <c r="B4" i="23" s="1"/>
  <c r="B7" i="24"/>
  <c r="A7" i="24" s="1"/>
  <c r="B7" i="25"/>
  <c r="B8" i="25" s="1"/>
  <c r="B7" i="26"/>
  <c r="E7" i="26" s="1"/>
  <c r="B7" i="27"/>
  <c r="B4" i="27" s="1"/>
  <c r="V15" i="27"/>
  <c r="V9" i="27"/>
  <c r="V14" i="27" s="1"/>
  <c r="V16" i="27" s="1"/>
  <c r="V7" i="27"/>
  <c r="V8" i="27" s="1"/>
  <c r="V15" i="26"/>
  <c r="V14" i="26"/>
  <c r="V9" i="26"/>
  <c r="V7" i="26"/>
  <c r="V8" i="26" s="1"/>
  <c r="D7" i="26"/>
  <c r="C7" i="26" s="1" a="1"/>
  <c r="C7" i="26" s="1"/>
  <c r="V15" i="25"/>
  <c r="V9" i="25"/>
  <c r="V14" i="25" s="1"/>
  <c r="V16" i="25" s="1"/>
  <c r="V7" i="25"/>
  <c r="V8" i="25" s="1"/>
  <c r="V16" i="24"/>
  <c r="V15" i="24"/>
  <c r="V9" i="24"/>
  <c r="V14" i="24" s="1"/>
  <c r="V7" i="24"/>
  <c r="V8" i="24" s="1"/>
  <c r="V15" i="23"/>
  <c r="V9" i="23"/>
  <c r="V14" i="23" s="1"/>
  <c r="V16" i="23" s="1"/>
  <c r="V7" i="23"/>
  <c r="V8" i="23" s="1"/>
  <c r="V15" i="22"/>
  <c r="V9" i="22"/>
  <c r="V14" i="22" s="1"/>
  <c r="V16" i="22" s="1"/>
  <c r="V7" i="22"/>
  <c r="V8" i="22" s="1"/>
  <c r="V15" i="21"/>
  <c r="V9" i="21"/>
  <c r="V14" i="21" s="1"/>
  <c r="V16" i="21" s="1"/>
  <c r="V7" i="21"/>
  <c r="V8" i="21" s="1"/>
  <c r="A7" i="21"/>
  <c r="B3" i="21"/>
  <c r="V15" i="20"/>
  <c r="V9" i="20"/>
  <c r="V14" i="20" s="1"/>
  <c r="V16" i="20" s="1"/>
  <c r="V7" i="20"/>
  <c r="V8" i="20" s="1"/>
  <c r="V16" i="19"/>
  <c r="V15" i="19"/>
  <c r="V9" i="19"/>
  <c r="V14" i="19" s="1"/>
  <c r="V7" i="19"/>
  <c r="V8" i="19" s="1"/>
  <c r="V15" i="18"/>
  <c r="V9" i="18"/>
  <c r="V14" i="18" s="1"/>
  <c r="V7" i="18"/>
  <c r="V8" i="18" s="1"/>
  <c r="L11" i="1"/>
  <c r="B7" i="17"/>
  <c r="B4" i="17" s="1"/>
  <c r="P37" i="28" l="1"/>
  <c r="C18" i="1" s="1"/>
  <c r="D18" i="1" s="1"/>
  <c r="G33" i="21"/>
  <c r="G32" i="21"/>
  <c r="G20" i="21"/>
  <c r="G8" i="21"/>
  <c r="G22" i="21"/>
  <c r="G21" i="21"/>
  <c r="G29" i="21"/>
  <c r="G19" i="21"/>
  <c r="G7" i="21"/>
  <c r="G14" i="21"/>
  <c r="K14" i="21" s="1"/>
  <c r="L14" i="21" s="1"/>
  <c r="G34" i="21"/>
  <c r="G11" i="21"/>
  <c r="K11" i="21" s="1"/>
  <c r="L11" i="21" s="1"/>
  <c r="G28" i="21"/>
  <c r="G18" i="21"/>
  <c r="G26" i="21"/>
  <c r="G12" i="21"/>
  <c r="K12" i="21" s="1"/>
  <c r="L12" i="21" s="1"/>
  <c r="G27" i="21"/>
  <c r="G15" i="21"/>
  <c r="K15" i="21" s="1"/>
  <c r="L15" i="21" s="1"/>
  <c r="G36" i="21"/>
  <c r="G35" i="21"/>
  <c r="G25" i="21"/>
  <c r="G13" i="21"/>
  <c r="K13" i="21" s="1"/>
  <c r="L13" i="21" s="1"/>
  <c r="G32" i="22"/>
  <c r="G22" i="22"/>
  <c r="G9" i="22"/>
  <c r="K9" i="22" s="1"/>
  <c r="L9" i="22" s="1"/>
  <c r="G31" i="22"/>
  <c r="G21" i="22"/>
  <c r="G10" i="22"/>
  <c r="K10" i="22" s="1"/>
  <c r="L10" i="22" s="1"/>
  <c r="G11" i="22"/>
  <c r="K11" i="22" s="1"/>
  <c r="L11" i="22" s="1"/>
  <c r="G7" i="22"/>
  <c r="K7" i="22" s="1"/>
  <c r="L7" i="22" s="1"/>
  <c r="G28" i="22"/>
  <c r="G16" i="22"/>
  <c r="G14" i="22"/>
  <c r="G23" i="22"/>
  <c r="G30" i="22"/>
  <c r="G37" i="22"/>
  <c r="G25" i="22"/>
  <c r="G15" i="22"/>
  <c r="G24" i="22"/>
  <c r="G35" i="22"/>
  <c r="G8" i="22"/>
  <c r="K8" i="22" s="1"/>
  <c r="L8" i="22" s="1"/>
  <c r="G18" i="22"/>
  <c r="G17" i="22"/>
  <c r="G36" i="22"/>
  <c r="G29" i="22"/>
  <c r="D7" i="18"/>
  <c r="D7" i="27"/>
  <c r="C7" i="27" s="1" a="1"/>
  <c r="C7" i="27" s="1"/>
  <c r="B8" i="18"/>
  <c r="B3" i="18"/>
  <c r="A7" i="18"/>
  <c r="A7" i="28"/>
  <c r="A18" i="1"/>
  <c r="D7" i="28"/>
  <c r="B8" i="28"/>
  <c r="B9" i="28" s="1"/>
  <c r="E7" i="28"/>
  <c r="B8" i="20"/>
  <c r="A7" i="20"/>
  <c r="A15" i="1"/>
  <c r="D7" i="21"/>
  <c r="A14" i="1"/>
  <c r="B8" i="22"/>
  <c r="E7" i="22"/>
  <c r="B3" i="22"/>
  <c r="A7" i="23"/>
  <c r="B3" i="23"/>
  <c r="D7" i="23"/>
  <c r="C7" i="23" s="1" a="1"/>
  <c r="C7" i="23" s="1"/>
  <c r="B8" i="23"/>
  <c r="B9" i="23" s="1"/>
  <c r="E7" i="23"/>
  <c r="B9" i="25"/>
  <c r="E9" i="25" s="1"/>
  <c r="E8" i="25"/>
  <c r="B4" i="25"/>
  <c r="B3" i="25"/>
  <c r="A7" i="25"/>
  <c r="D7" i="25"/>
  <c r="C7" i="25" s="1" a="1"/>
  <c r="C7" i="25" s="1"/>
  <c r="E7" i="25"/>
  <c r="G7" i="25" s="1" a="1"/>
  <c r="G7" i="25" s="1"/>
  <c r="B8" i="27"/>
  <c r="B9" i="27" s="1"/>
  <c r="A9" i="27" s="1"/>
  <c r="B8" i="26"/>
  <c r="B3" i="26"/>
  <c r="B4" i="26"/>
  <c r="A7" i="26"/>
  <c r="D8" i="27"/>
  <c r="C8" i="27" s="1" a="1"/>
  <c r="C8" i="27" s="1"/>
  <c r="B3" i="27"/>
  <c r="E8" i="27"/>
  <c r="G8" i="27" s="1" a="1"/>
  <c r="G8" i="27" s="1"/>
  <c r="A7" i="27"/>
  <c r="B10" i="27"/>
  <c r="D9" i="27"/>
  <c r="C9" i="27" s="1" a="1"/>
  <c r="C9" i="27" s="1"/>
  <c r="E7" i="27"/>
  <c r="A8" i="27"/>
  <c r="V16" i="26"/>
  <c r="G7" i="26" a="1"/>
  <c r="G7" i="26" s="1"/>
  <c r="K7" i="26" s="1"/>
  <c r="L7" i="26" s="1"/>
  <c r="A8" i="26"/>
  <c r="D8" i="25"/>
  <c r="C8" i="25" s="1" a="1"/>
  <c r="C8" i="25" s="1"/>
  <c r="A8" i="25"/>
  <c r="B4" i="24"/>
  <c r="B3" i="24"/>
  <c r="E7" i="24"/>
  <c r="D7" i="24"/>
  <c r="C7" i="24" s="1" a="1"/>
  <c r="C7" i="24" s="1"/>
  <c r="B8" i="24"/>
  <c r="E8" i="22"/>
  <c r="A8" i="22"/>
  <c r="B9" i="21"/>
  <c r="A8" i="21"/>
  <c r="E8" i="21"/>
  <c r="D8" i="21"/>
  <c r="E7" i="21"/>
  <c r="B9" i="20"/>
  <c r="A8" i="20"/>
  <c r="E8" i="20"/>
  <c r="D8" i="20"/>
  <c r="D7" i="20"/>
  <c r="E7" i="20"/>
  <c r="B3" i="20"/>
  <c r="A17" i="1"/>
  <c r="B3" i="19"/>
  <c r="E7" i="19"/>
  <c r="B8" i="19"/>
  <c r="D7" i="19"/>
  <c r="V16" i="18"/>
  <c r="D8" i="18"/>
  <c r="E7" i="18"/>
  <c r="A8" i="18"/>
  <c r="A7" i="17"/>
  <c r="B3" i="17"/>
  <c r="V7" i="17"/>
  <c r="V8" i="17" s="1"/>
  <c r="B2" i="28" l="1"/>
  <c r="M13" i="21"/>
  <c r="N13" i="21"/>
  <c r="O13" i="21" s="1"/>
  <c r="N11" i="21"/>
  <c r="O11" i="21" s="1"/>
  <c r="M11" i="21"/>
  <c r="P11" i="21" s="1"/>
  <c r="M14" i="21"/>
  <c r="N14" i="21"/>
  <c r="O14" i="21" s="1"/>
  <c r="P14" i="21" s="1"/>
  <c r="N12" i="21"/>
  <c r="O12" i="21" s="1"/>
  <c r="M12" i="21"/>
  <c r="N15" i="21"/>
  <c r="O15" i="21" s="1"/>
  <c r="M15" i="21"/>
  <c r="P15" i="21" s="1"/>
  <c r="N11" i="22"/>
  <c r="O11" i="22" s="1"/>
  <c r="M11" i="22"/>
  <c r="P11" i="22" s="1"/>
  <c r="N7" i="22"/>
  <c r="O7" i="22" s="1"/>
  <c r="M7" i="22"/>
  <c r="P7" i="22" s="1"/>
  <c r="M8" i="22"/>
  <c r="N8" i="22"/>
  <c r="O8" i="22" s="1"/>
  <c r="M9" i="22"/>
  <c r="N9" i="22"/>
  <c r="O9" i="22" s="1"/>
  <c r="M10" i="22"/>
  <c r="N10" i="22"/>
  <c r="O10" i="22" s="1"/>
  <c r="P10" i="22" s="1"/>
  <c r="E9" i="27"/>
  <c r="A8" i="28"/>
  <c r="D8" i="23"/>
  <c r="C8" i="23" s="1" a="1"/>
  <c r="C8" i="23" s="1"/>
  <c r="E8" i="23"/>
  <c r="G8" i="23" s="1" a="1"/>
  <c r="G8" i="23" s="1"/>
  <c r="G9" i="27" a="1"/>
  <c r="G9" i="27" s="1"/>
  <c r="A8" i="23"/>
  <c r="G8" i="25" a="1"/>
  <c r="G8" i="25" s="1"/>
  <c r="K8" i="25" s="1"/>
  <c r="L8" i="25" s="1"/>
  <c r="K8" i="27"/>
  <c r="L8" i="27" s="1"/>
  <c r="N8" i="27" s="1"/>
  <c r="O8" i="27" s="1"/>
  <c r="B9" i="18"/>
  <c r="E8" i="18"/>
  <c r="D8" i="28"/>
  <c r="E8" i="28"/>
  <c r="B10" i="28"/>
  <c r="A9" i="28"/>
  <c r="D9" i="28"/>
  <c r="E9" i="28"/>
  <c r="B9" i="22"/>
  <c r="D8" i="22"/>
  <c r="G7" i="23" a="1"/>
  <c r="G7" i="23" s="1"/>
  <c r="K7" i="23" s="1"/>
  <c r="L7" i="23" s="1"/>
  <c r="A9" i="25"/>
  <c r="B10" i="25"/>
  <c r="B11" i="25" s="1"/>
  <c r="D9" i="25"/>
  <c r="C9" i="25" s="1" a="1"/>
  <c r="C9" i="25" s="1"/>
  <c r="G9" i="25" s="1" a="1"/>
  <c r="G9" i="25" s="1"/>
  <c r="K9" i="25" s="1"/>
  <c r="L9" i="25" s="1"/>
  <c r="K7" i="25"/>
  <c r="L7" i="25" s="1"/>
  <c r="M7" i="25" s="1"/>
  <c r="B9" i="26"/>
  <c r="E8" i="26"/>
  <c r="D8" i="26"/>
  <c r="C8" i="26" s="1" a="1"/>
  <c r="C8" i="26" s="1"/>
  <c r="K9" i="27"/>
  <c r="L9" i="27" s="1"/>
  <c r="E10" i="27"/>
  <c r="A10" i="27"/>
  <c r="B11" i="27"/>
  <c r="D10" i="27"/>
  <c r="C10" i="27" s="1" a="1"/>
  <c r="C10" i="27" s="1"/>
  <c r="G7" i="27" a="1"/>
  <c r="G7" i="27" s="1"/>
  <c r="K7" i="27" s="1"/>
  <c r="L7" i="27" s="1"/>
  <c r="N7" i="26"/>
  <c r="O7" i="26" s="1"/>
  <c r="M7" i="26"/>
  <c r="E10" i="25"/>
  <c r="A10" i="25"/>
  <c r="B9" i="24"/>
  <c r="A8" i="24"/>
  <c r="E8" i="24"/>
  <c r="G8" i="24" s="1" a="1"/>
  <c r="G8" i="24" s="1"/>
  <c r="D8" i="24"/>
  <c r="C8" i="24" s="1" a="1"/>
  <c r="C8" i="24" s="1"/>
  <c r="G7" i="24" a="1"/>
  <c r="G7" i="24" s="1"/>
  <c r="K7" i="24"/>
  <c r="L7" i="24" s="1"/>
  <c r="B10" i="23"/>
  <c r="A9" i="23"/>
  <c r="E9" i="23"/>
  <c r="D9" i="23"/>
  <c r="C9" i="23" s="1" a="1"/>
  <c r="C9" i="23" s="1"/>
  <c r="K8" i="23"/>
  <c r="L8" i="23" s="1"/>
  <c r="B10" i="21"/>
  <c r="A9" i="21"/>
  <c r="D9" i="21"/>
  <c r="E9" i="21"/>
  <c r="B10" i="20"/>
  <c r="A9" i="20"/>
  <c r="D9" i="20"/>
  <c r="E9" i="20"/>
  <c r="B9" i="19"/>
  <c r="A8" i="19"/>
  <c r="D8" i="19"/>
  <c r="E8" i="19"/>
  <c r="K11" i="1"/>
  <c r="I11" i="1"/>
  <c r="J11" i="1"/>
  <c r="P8" i="22" l="1"/>
  <c r="P12" i="21"/>
  <c r="P13" i="21"/>
  <c r="P38" i="21" s="1"/>
  <c r="P9" i="22"/>
  <c r="P38" i="22" s="1"/>
  <c r="D10" i="25"/>
  <c r="C10" i="25" s="1" a="1"/>
  <c r="C10" i="25" s="1"/>
  <c r="G10" i="25" s="1" a="1"/>
  <c r="G10" i="25" s="1"/>
  <c r="K10" i="25" s="1"/>
  <c r="L10" i="25" s="1"/>
  <c r="G10" i="27" a="1"/>
  <c r="G10" i="27" s="1"/>
  <c r="G8" i="26" a="1"/>
  <c r="G8" i="26" s="1"/>
  <c r="G9" i="23" a="1"/>
  <c r="G9" i="23" s="1"/>
  <c r="K9" i="23" s="1"/>
  <c r="L9" i="23" s="1"/>
  <c r="M8" i="27"/>
  <c r="P8" i="27" s="1"/>
  <c r="N7" i="25"/>
  <c r="O7" i="25" s="1"/>
  <c r="P7" i="25" s="1"/>
  <c r="D9" i="18"/>
  <c r="B10" i="18"/>
  <c r="A9" i="18"/>
  <c r="E9" i="18"/>
  <c r="A10" i="28"/>
  <c r="B11" i="28"/>
  <c r="E10" i="28"/>
  <c r="D10" i="28"/>
  <c r="A9" i="22"/>
  <c r="D9" i="22"/>
  <c r="E9" i="22"/>
  <c r="B10" i="22"/>
  <c r="M7" i="23"/>
  <c r="N7" i="23"/>
  <c r="O7" i="23" s="1"/>
  <c r="N8" i="25"/>
  <c r="O8" i="25" s="1"/>
  <c r="M8" i="25"/>
  <c r="P7" i="26"/>
  <c r="A9" i="26"/>
  <c r="E9" i="26"/>
  <c r="B10" i="26"/>
  <c r="D9" i="26"/>
  <c r="C9" i="26" s="1" a="1"/>
  <c r="C9" i="26" s="1"/>
  <c r="K8" i="26"/>
  <c r="L8" i="26" s="1"/>
  <c r="N7" i="27"/>
  <c r="O7" i="27" s="1"/>
  <c r="M7" i="27"/>
  <c r="D11" i="27"/>
  <c r="C11" i="27" s="1" a="1"/>
  <c r="C11" i="27" s="1"/>
  <c r="A11" i="27"/>
  <c r="B12" i="27"/>
  <c r="E11" i="27"/>
  <c r="N9" i="27"/>
  <c r="O9" i="27" s="1"/>
  <c r="M9" i="27"/>
  <c r="K10" i="27"/>
  <c r="L10" i="27" s="1"/>
  <c r="D11" i="25"/>
  <c r="C11" i="25" s="1" a="1"/>
  <c r="C11" i="25" s="1"/>
  <c r="A11" i="25"/>
  <c r="E11" i="25"/>
  <c r="B12" i="25"/>
  <c r="N9" i="25"/>
  <c r="O9" i="25" s="1"/>
  <c r="M9" i="25"/>
  <c r="B10" i="24"/>
  <c r="A9" i="24"/>
  <c r="D9" i="24"/>
  <c r="C9" i="24" s="1" a="1"/>
  <c r="C9" i="24" s="1"/>
  <c r="E9" i="24"/>
  <c r="M7" i="24"/>
  <c r="N7" i="24"/>
  <c r="O7" i="24" s="1"/>
  <c r="K8" i="24"/>
  <c r="L8" i="24" s="1"/>
  <c r="N8" i="23"/>
  <c r="O8" i="23" s="1"/>
  <c r="M8" i="23"/>
  <c r="A10" i="23"/>
  <c r="B11" i="23"/>
  <c r="E10" i="23"/>
  <c r="D10" i="23"/>
  <c r="C10" i="23" s="1" a="1"/>
  <c r="C10" i="23" s="1"/>
  <c r="A10" i="21"/>
  <c r="B11" i="21"/>
  <c r="D10" i="21"/>
  <c r="E10" i="21"/>
  <c r="A10" i="20"/>
  <c r="D10" i="20"/>
  <c r="B11" i="20"/>
  <c r="E10" i="20"/>
  <c r="B10" i="19"/>
  <c r="A9" i="19"/>
  <c r="E9" i="19"/>
  <c r="D9" i="19"/>
  <c r="E7" i="17"/>
  <c r="C15" i="1" l="1"/>
  <c r="D15" i="1" s="1"/>
  <c r="B2" i="21"/>
  <c r="B2" i="22"/>
  <c r="C14" i="1"/>
  <c r="D14" i="1" s="1"/>
  <c r="G10" i="23" a="1"/>
  <c r="G10" i="23" s="1"/>
  <c r="G11" i="25" a="1"/>
  <c r="G11" i="25" s="1"/>
  <c r="G11" i="27" a="1"/>
  <c r="G11" i="27" s="1"/>
  <c r="G9" i="26" a="1"/>
  <c r="G9" i="26" s="1"/>
  <c r="G7" i="17" a="1"/>
  <c r="G7" i="17" s="1"/>
  <c r="K7" i="17"/>
  <c r="G9" i="24" a="1"/>
  <c r="G9" i="24" s="1"/>
  <c r="P7" i="23"/>
  <c r="E10" i="18"/>
  <c r="A10" i="18"/>
  <c r="D10" i="18"/>
  <c r="B11" i="18"/>
  <c r="D11" i="28"/>
  <c r="B12" i="28"/>
  <c r="A11" i="28"/>
  <c r="E11" i="28"/>
  <c r="B11" i="22"/>
  <c r="A10" i="22"/>
  <c r="D10" i="22"/>
  <c r="E10" i="22"/>
  <c r="P8" i="23"/>
  <c r="P7" i="24"/>
  <c r="P8" i="25"/>
  <c r="P9" i="25"/>
  <c r="M8" i="26"/>
  <c r="N8" i="26"/>
  <c r="O8" i="26" s="1"/>
  <c r="E10" i="26"/>
  <c r="A10" i="26"/>
  <c r="B11" i="26"/>
  <c r="D10" i="26"/>
  <c r="C10" i="26" s="1" a="1"/>
  <c r="C10" i="26" s="1"/>
  <c r="K9" i="26"/>
  <c r="L9" i="26" s="1"/>
  <c r="P9" i="27"/>
  <c r="P7" i="27"/>
  <c r="K11" i="27"/>
  <c r="L11" i="27" s="1"/>
  <c r="E12" i="27"/>
  <c r="D12" i="27"/>
  <c r="C12" i="27" s="1" a="1"/>
  <c r="C12" i="27" s="1"/>
  <c r="A12" i="27"/>
  <c r="B13" i="27"/>
  <c r="M10" i="27"/>
  <c r="N10" i="27"/>
  <c r="O10" i="27" s="1"/>
  <c r="M10" i="25"/>
  <c r="N10" i="25"/>
  <c r="O10" i="25" s="1"/>
  <c r="E12" i="25"/>
  <c r="D12" i="25"/>
  <c r="C12" i="25" s="1" a="1"/>
  <c r="C12" i="25" s="1"/>
  <c r="A12" i="25"/>
  <c r="B13" i="25"/>
  <c r="K11" i="25"/>
  <c r="L11" i="25" s="1"/>
  <c r="N8" i="24"/>
  <c r="O8" i="24" s="1"/>
  <c r="M8" i="24"/>
  <c r="K9" i="24"/>
  <c r="L9" i="24" s="1"/>
  <c r="E10" i="24"/>
  <c r="A10" i="24"/>
  <c r="B11" i="24"/>
  <c r="D10" i="24"/>
  <c r="C10" i="24" s="1" a="1"/>
  <c r="C10" i="24" s="1"/>
  <c r="K10" i="23"/>
  <c r="L10" i="23" s="1"/>
  <c r="D11" i="23"/>
  <c r="C11" i="23" s="1" a="1"/>
  <c r="C11" i="23" s="1"/>
  <c r="B12" i="23"/>
  <c r="A11" i="23"/>
  <c r="E11" i="23"/>
  <c r="G11" i="23" s="1" a="1"/>
  <c r="G11" i="23" s="1"/>
  <c r="N9" i="23"/>
  <c r="O9" i="23" s="1"/>
  <c r="M9" i="23"/>
  <c r="D11" i="21"/>
  <c r="A11" i="21"/>
  <c r="B12" i="21"/>
  <c r="E11" i="21"/>
  <c r="D11" i="20"/>
  <c r="B12" i="20"/>
  <c r="A11" i="20"/>
  <c r="E11" i="20"/>
  <c r="B11" i="19"/>
  <c r="A10" i="19"/>
  <c r="E10" i="19"/>
  <c r="D10" i="19"/>
  <c r="D7" i="17"/>
  <c r="C7" i="17" s="1" a="1"/>
  <c r="C7" i="17" s="1"/>
  <c r="G10" i="24" l="1" a="1"/>
  <c r="G10" i="24" s="1"/>
  <c r="G12" i="25" a="1"/>
  <c r="G12" i="25" s="1"/>
  <c r="G12" i="27" a="1"/>
  <c r="G12" i="27" s="1"/>
  <c r="G10" i="26" a="1"/>
  <c r="G10" i="26" s="1"/>
  <c r="P8" i="24"/>
  <c r="A11" i="18"/>
  <c r="D11" i="18"/>
  <c r="B12" i="18"/>
  <c r="E11" i="18"/>
  <c r="E12" i="28"/>
  <c r="D12" i="28"/>
  <c r="B13" i="28"/>
  <c r="A12" i="28"/>
  <c r="B12" i="22"/>
  <c r="A11" i="22"/>
  <c r="D11" i="22"/>
  <c r="E11" i="22"/>
  <c r="P9" i="23"/>
  <c r="P10" i="25"/>
  <c r="N9" i="26"/>
  <c r="O9" i="26" s="1"/>
  <c r="M9" i="26"/>
  <c r="B12" i="26"/>
  <c r="D11" i="26"/>
  <c r="C11" i="26" s="1" a="1"/>
  <c r="C11" i="26" s="1"/>
  <c r="A11" i="26"/>
  <c r="E11" i="26"/>
  <c r="G11" i="26" s="1" a="1"/>
  <c r="G11" i="26" s="1"/>
  <c r="K10" i="26"/>
  <c r="L10" i="26" s="1"/>
  <c r="P8" i="26"/>
  <c r="P10" i="27"/>
  <c r="A13" i="27"/>
  <c r="B14" i="27"/>
  <c r="E13" i="27"/>
  <c r="G13" i="27" s="1" a="1"/>
  <c r="G13" i="27" s="1"/>
  <c r="D13" i="27"/>
  <c r="C13" i="27" s="1" a="1"/>
  <c r="C13" i="27" s="1"/>
  <c r="K12" i="27"/>
  <c r="L12" i="27" s="1"/>
  <c r="N11" i="27"/>
  <c r="O11" i="27" s="1"/>
  <c r="M11" i="27"/>
  <c r="A13" i="25"/>
  <c r="B14" i="25"/>
  <c r="E13" i="25"/>
  <c r="D13" i="25"/>
  <c r="C13" i="25" s="1" a="1"/>
  <c r="C13" i="25" s="1"/>
  <c r="K12" i="25"/>
  <c r="L12" i="25" s="1"/>
  <c r="N11" i="25"/>
  <c r="O11" i="25" s="1"/>
  <c r="M11" i="25"/>
  <c r="N9" i="24"/>
  <c r="O9" i="24" s="1"/>
  <c r="M9" i="24"/>
  <c r="K10" i="24"/>
  <c r="L10" i="24" s="1"/>
  <c r="D11" i="24"/>
  <c r="C11" i="24" s="1" a="1"/>
  <c r="C11" i="24" s="1"/>
  <c r="A11" i="24"/>
  <c r="B12" i="24"/>
  <c r="E11" i="24"/>
  <c r="G11" i="24" s="1" a="1"/>
  <c r="G11" i="24" s="1"/>
  <c r="K11" i="23"/>
  <c r="L11" i="23" s="1"/>
  <c r="E12" i="23"/>
  <c r="D12" i="23"/>
  <c r="C12" i="23" s="1" a="1"/>
  <c r="C12" i="23" s="1"/>
  <c r="A12" i="23"/>
  <c r="B13" i="23"/>
  <c r="M10" i="23"/>
  <c r="N10" i="23"/>
  <c r="O10" i="23" s="1"/>
  <c r="E12" i="21"/>
  <c r="D12" i="21"/>
  <c r="A12" i="21"/>
  <c r="B13" i="21"/>
  <c r="E12" i="20"/>
  <c r="D12" i="20"/>
  <c r="A12" i="20"/>
  <c r="B13" i="20"/>
  <c r="D11" i="19"/>
  <c r="A11" i="19"/>
  <c r="E11" i="19"/>
  <c r="B12" i="19"/>
  <c r="L7" i="17"/>
  <c r="V9" i="17"/>
  <c r="V14" i="17" s="1"/>
  <c r="G12" i="23" l="1" a="1"/>
  <c r="G12" i="23" s="1"/>
  <c r="G13" i="25" a="1"/>
  <c r="G13" i="25" s="1"/>
  <c r="D12" i="18"/>
  <c r="A12" i="18"/>
  <c r="E12" i="18"/>
  <c r="B13" i="18"/>
  <c r="A13" i="28"/>
  <c r="B14" i="28"/>
  <c r="E13" i="28"/>
  <c r="D13" i="28"/>
  <c r="B13" i="22"/>
  <c r="E12" i="22"/>
  <c r="A12" i="22"/>
  <c r="D12" i="22"/>
  <c r="P10" i="23"/>
  <c r="P9" i="24"/>
  <c r="P11" i="25"/>
  <c r="M10" i="26"/>
  <c r="N10" i="26"/>
  <c r="O10" i="26" s="1"/>
  <c r="K11" i="26"/>
  <c r="L11" i="26" s="1"/>
  <c r="B13" i="26"/>
  <c r="A12" i="26"/>
  <c r="E12" i="26"/>
  <c r="D12" i="26"/>
  <c r="C12" i="26" s="1" a="1"/>
  <c r="C12" i="26" s="1"/>
  <c r="P9" i="26"/>
  <c r="P11" i="27"/>
  <c r="M12" i="27"/>
  <c r="N12" i="27"/>
  <c r="O12" i="27" s="1"/>
  <c r="K13" i="27"/>
  <c r="L13" i="27" s="1"/>
  <c r="B15" i="27"/>
  <c r="A14" i="27"/>
  <c r="D14" i="27"/>
  <c r="C14" i="27" s="1" a="1"/>
  <c r="C14" i="27" s="1"/>
  <c r="E14" i="27"/>
  <c r="G14" i="27" s="1" a="1"/>
  <c r="G14" i="27" s="1"/>
  <c r="B15" i="25"/>
  <c r="A14" i="25"/>
  <c r="E14" i="25"/>
  <c r="D14" i="25"/>
  <c r="C14" i="25" s="1" a="1"/>
  <c r="C14" i="25" s="1"/>
  <c r="K13" i="25"/>
  <c r="L13" i="25" s="1"/>
  <c r="N12" i="25"/>
  <c r="O12" i="25" s="1"/>
  <c r="M12" i="25"/>
  <c r="P12" i="25" s="1"/>
  <c r="K11" i="24"/>
  <c r="L11" i="24" s="1"/>
  <c r="M10" i="24"/>
  <c r="N10" i="24"/>
  <c r="O10" i="24" s="1"/>
  <c r="E12" i="24"/>
  <c r="D12" i="24"/>
  <c r="C12" i="24" s="1" a="1"/>
  <c r="C12" i="24" s="1"/>
  <c r="A12" i="24"/>
  <c r="B13" i="24"/>
  <c r="A13" i="23"/>
  <c r="B14" i="23"/>
  <c r="E13" i="23"/>
  <c r="D13" i="23"/>
  <c r="C13" i="23" s="1" a="1"/>
  <c r="C13" i="23" s="1"/>
  <c r="K12" i="23"/>
  <c r="L12" i="23" s="1"/>
  <c r="N11" i="23"/>
  <c r="O11" i="23" s="1"/>
  <c r="M11" i="23"/>
  <c r="A13" i="21"/>
  <c r="B14" i="21"/>
  <c r="E13" i="21"/>
  <c r="D13" i="21"/>
  <c r="A13" i="20"/>
  <c r="B14" i="20"/>
  <c r="E13" i="20"/>
  <c r="D13" i="20"/>
  <c r="E12" i="19"/>
  <c r="D12" i="19"/>
  <c r="A12" i="19"/>
  <c r="B13" i="19"/>
  <c r="N7" i="17"/>
  <c r="O7" i="17" s="1"/>
  <c r="M7" i="17"/>
  <c r="B5" i="2"/>
  <c r="B2" i="2" s="1"/>
  <c r="R8" i="2"/>
  <c r="G13" i="23" l="1" a="1"/>
  <c r="G13" i="23" s="1"/>
  <c r="G12" i="24" a="1"/>
  <c r="G12" i="24" s="1"/>
  <c r="G14" i="25" a="1"/>
  <c r="G14" i="25" s="1"/>
  <c r="G12" i="26" a="1"/>
  <c r="G12" i="26" s="1"/>
  <c r="K12" i="26" s="1"/>
  <c r="L12" i="26" s="1"/>
  <c r="P10" i="26"/>
  <c r="P11" i="23"/>
  <c r="D13" i="18"/>
  <c r="E13" i="18"/>
  <c r="A13" i="18"/>
  <c r="B14" i="18"/>
  <c r="B15" i="28"/>
  <c r="A14" i="28"/>
  <c r="E14" i="28"/>
  <c r="D14" i="28"/>
  <c r="D13" i="22"/>
  <c r="B14" i="22"/>
  <c r="E13" i="22"/>
  <c r="A13" i="22"/>
  <c r="P10" i="24"/>
  <c r="N11" i="26"/>
  <c r="O11" i="26" s="1"/>
  <c r="M11" i="26"/>
  <c r="A13" i="26"/>
  <c r="B14" i="26"/>
  <c r="D13" i="26"/>
  <c r="C13" i="26" s="1" a="1"/>
  <c r="C13" i="26" s="1"/>
  <c r="E13" i="26"/>
  <c r="P12" i="27"/>
  <c r="B16" i="27"/>
  <c r="A15" i="27"/>
  <c r="E15" i="27"/>
  <c r="G15" i="27" s="1" a="1"/>
  <c r="G15" i="27" s="1"/>
  <c r="D15" i="27"/>
  <c r="C15" i="27" s="1" a="1"/>
  <c r="C15" i="27" s="1"/>
  <c r="M13" i="27"/>
  <c r="N13" i="27"/>
  <c r="O13" i="27" s="1"/>
  <c r="K14" i="27"/>
  <c r="L14" i="27" s="1"/>
  <c r="B16" i="25"/>
  <c r="A15" i="25"/>
  <c r="E15" i="25"/>
  <c r="D15" i="25"/>
  <c r="C15" i="25" s="1" a="1"/>
  <c r="C15" i="25" s="1"/>
  <c r="N13" i="25"/>
  <c r="O13" i="25" s="1"/>
  <c r="M13" i="25"/>
  <c r="K14" i="25"/>
  <c r="L14" i="25" s="1"/>
  <c r="N11" i="24"/>
  <c r="O11" i="24" s="1"/>
  <c r="M11" i="24"/>
  <c r="K12" i="24"/>
  <c r="L12" i="24" s="1"/>
  <c r="A13" i="24"/>
  <c r="B14" i="24"/>
  <c r="E13" i="24"/>
  <c r="D13" i="24"/>
  <c r="C13" i="24" s="1" a="1"/>
  <c r="C13" i="24" s="1"/>
  <c r="N12" i="23"/>
  <c r="O12" i="23" s="1"/>
  <c r="M12" i="23"/>
  <c r="B15" i="23"/>
  <c r="A14" i="23"/>
  <c r="E14" i="23"/>
  <c r="D14" i="23"/>
  <c r="C14" i="23" s="1" a="1"/>
  <c r="C14" i="23" s="1"/>
  <c r="K13" i="23"/>
  <c r="L13" i="23" s="1"/>
  <c r="B15" i="21"/>
  <c r="A14" i="21"/>
  <c r="D14" i="21"/>
  <c r="E14" i="21"/>
  <c r="B15" i="20"/>
  <c r="A14" i="20"/>
  <c r="E14" i="20"/>
  <c r="D14" i="20"/>
  <c r="A13" i="19"/>
  <c r="B14" i="19"/>
  <c r="E13" i="19"/>
  <c r="D13" i="19"/>
  <c r="P7" i="17"/>
  <c r="A5" i="2"/>
  <c r="R5" i="2"/>
  <c r="R10" i="2" s="1"/>
  <c r="R7" i="2"/>
  <c r="G13" i="24" l="1" a="1"/>
  <c r="G13" i="24" s="1"/>
  <c r="G15" i="25" a="1"/>
  <c r="G15" i="25" s="1"/>
  <c r="G14" i="23" a="1"/>
  <c r="G14" i="23" s="1"/>
  <c r="G13" i="26" a="1"/>
  <c r="G13" i="26" s="1"/>
  <c r="P13" i="27"/>
  <c r="P12" i="23"/>
  <c r="E14" i="18"/>
  <c r="A14" i="18"/>
  <c r="D14" i="18"/>
  <c r="B15" i="18"/>
  <c r="A15" i="28"/>
  <c r="B16" i="28"/>
  <c r="D15" i="28"/>
  <c r="E15" i="28"/>
  <c r="A14" i="22"/>
  <c r="B15" i="22"/>
  <c r="D14" i="22"/>
  <c r="E14" i="22"/>
  <c r="P11" i="24"/>
  <c r="P13" i="25"/>
  <c r="N12" i="26"/>
  <c r="O12" i="26" s="1"/>
  <c r="M12" i="26"/>
  <c r="K13" i="26"/>
  <c r="L13" i="26" s="1"/>
  <c r="A14" i="26"/>
  <c r="D14" i="26"/>
  <c r="C14" i="26" s="1" a="1"/>
  <c r="C14" i="26" s="1"/>
  <c r="E14" i="26"/>
  <c r="B15" i="26"/>
  <c r="P11" i="26"/>
  <c r="D16" i="27"/>
  <c r="C16" i="27" s="1" a="1"/>
  <c r="C16" i="27" s="1"/>
  <c r="B17" i="27"/>
  <c r="A16" i="27"/>
  <c r="E16" i="27"/>
  <c r="K15" i="27"/>
  <c r="L15" i="27" s="1"/>
  <c r="M14" i="27"/>
  <c r="N14" i="27"/>
  <c r="O14" i="27" s="1"/>
  <c r="M14" i="25"/>
  <c r="N14" i="25"/>
  <c r="O14" i="25" s="1"/>
  <c r="K15" i="25"/>
  <c r="L15" i="25" s="1"/>
  <c r="D16" i="25"/>
  <c r="C16" i="25" s="1" a="1"/>
  <c r="C16" i="25" s="1"/>
  <c r="B17" i="25"/>
  <c r="A16" i="25"/>
  <c r="E16" i="25"/>
  <c r="N12" i="24"/>
  <c r="O12" i="24" s="1"/>
  <c r="M12" i="24"/>
  <c r="K13" i="24"/>
  <c r="L13" i="24" s="1"/>
  <c r="B15" i="24"/>
  <c r="A14" i="24"/>
  <c r="E14" i="24"/>
  <c r="D14" i="24"/>
  <c r="C14" i="24" s="1" a="1"/>
  <c r="C14" i="24" s="1"/>
  <c r="K14" i="23"/>
  <c r="L14" i="23" s="1"/>
  <c r="N13" i="23"/>
  <c r="O13" i="23" s="1"/>
  <c r="M13" i="23"/>
  <c r="B16" i="23"/>
  <c r="A15" i="23"/>
  <c r="E15" i="23"/>
  <c r="G15" i="23" s="1" a="1"/>
  <c r="G15" i="23" s="1"/>
  <c r="D15" i="23"/>
  <c r="C15" i="23" s="1" a="1"/>
  <c r="C15" i="23" s="1"/>
  <c r="B16" i="21"/>
  <c r="A15" i="21"/>
  <c r="E15" i="21"/>
  <c r="D15" i="21"/>
  <c r="B16" i="20"/>
  <c r="A15" i="20"/>
  <c r="E15" i="20"/>
  <c r="D15" i="20"/>
  <c r="B15" i="19"/>
  <c r="A14" i="19"/>
  <c r="E14" i="19"/>
  <c r="D14" i="19"/>
  <c r="R12" i="2"/>
  <c r="R6" i="2"/>
  <c r="G16" i="25" l="1" a="1"/>
  <c r="G16" i="25" s="1"/>
  <c r="G14" i="26" a="1"/>
  <c r="G14" i="26" s="1"/>
  <c r="G14" i="24" a="1"/>
  <c r="G14" i="24" s="1"/>
  <c r="K14" i="24" s="1"/>
  <c r="L14" i="24" s="1"/>
  <c r="G16" i="27" a="1"/>
  <c r="G16" i="27" s="1"/>
  <c r="K16" i="27" s="1"/>
  <c r="L16" i="27" s="1"/>
  <c r="P14" i="25"/>
  <c r="E15" i="18"/>
  <c r="B16" i="18"/>
  <c r="D15" i="18"/>
  <c r="A15" i="18"/>
  <c r="D16" i="28"/>
  <c r="E16" i="28"/>
  <c r="B17" i="28"/>
  <c r="A16" i="28"/>
  <c r="E15" i="22"/>
  <c r="D15" i="22"/>
  <c r="A15" i="22"/>
  <c r="B16" i="22"/>
  <c r="P13" i="23"/>
  <c r="P12" i="24"/>
  <c r="B16" i="26"/>
  <c r="A15" i="26"/>
  <c r="E15" i="26"/>
  <c r="D15" i="26"/>
  <c r="C15" i="26" s="1" a="1"/>
  <c r="C15" i="26" s="1"/>
  <c r="K14" i="26"/>
  <c r="L14" i="26" s="1"/>
  <c r="N13" i="26"/>
  <c r="O13" i="26" s="1"/>
  <c r="M13" i="26"/>
  <c r="P12" i="26"/>
  <c r="P14" i="27"/>
  <c r="N15" i="27"/>
  <c r="O15" i="27" s="1"/>
  <c r="M15" i="27"/>
  <c r="E17" i="27"/>
  <c r="D17" i="27"/>
  <c r="C17" i="27" s="1" a="1"/>
  <c r="C17" i="27" s="1"/>
  <c r="B18" i="27"/>
  <c r="A17" i="27"/>
  <c r="E17" i="25"/>
  <c r="D17" i="25"/>
  <c r="C17" i="25" s="1" a="1"/>
  <c r="C17" i="25" s="1"/>
  <c r="A17" i="25"/>
  <c r="B18" i="25"/>
  <c r="N15" i="25"/>
  <c r="O15" i="25" s="1"/>
  <c r="M15" i="25"/>
  <c r="K16" i="25"/>
  <c r="L16" i="25" s="1"/>
  <c r="B16" i="24"/>
  <c r="A15" i="24"/>
  <c r="D15" i="24"/>
  <c r="C15" i="24" s="1" a="1"/>
  <c r="C15" i="24" s="1"/>
  <c r="E15" i="24"/>
  <c r="G15" i="24" s="1" a="1"/>
  <c r="G15" i="24" s="1"/>
  <c r="N13" i="24"/>
  <c r="O13" i="24" s="1"/>
  <c r="M13" i="24"/>
  <c r="K15" i="23"/>
  <c r="L15" i="23" s="1"/>
  <c r="D16" i="23"/>
  <c r="C16" i="23" s="1" a="1"/>
  <c r="C16" i="23" s="1"/>
  <c r="B17" i="23"/>
  <c r="A16" i="23"/>
  <c r="E16" i="23"/>
  <c r="G16" i="23" s="1" a="1"/>
  <c r="G16" i="23" s="1"/>
  <c r="M14" i="23"/>
  <c r="N14" i="23"/>
  <c r="O14" i="23" s="1"/>
  <c r="D16" i="21"/>
  <c r="A16" i="21"/>
  <c r="B17" i="21"/>
  <c r="E16" i="21"/>
  <c r="D16" i="20"/>
  <c r="B17" i="20"/>
  <c r="A16" i="20"/>
  <c r="E16" i="20"/>
  <c r="B16" i="19"/>
  <c r="A15" i="19"/>
  <c r="E15" i="19"/>
  <c r="D15" i="19"/>
  <c r="E10" i="2" a="1"/>
  <c r="E10" i="2" s="1"/>
  <c r="E11" i="2" a="1"/>
  <c r="E11" i="2" s="1"/>
  <c r="F11" i="2" s="1" a="1"/>
  <c r="F11" i="2" s="1"/>
  <c r="I11" i="2" s="1"/>
  <c r="J11" i="2" s="1"/>
  <c r="E17" i="2" a="1"/>
  <c r="E17" i="2" s="1"/>
  <c r="E18" i="2" a="1"/>
  <c r="E18" i="2" s="1"/>
  <c r="E24" i="2" a="1"/>
  <c r="E24" i="2" s="1"/>
  <c r="E25" i="2" a="1"/>
  <c r="E25" i="2" s="1"/>
  <c r="E31" i="2" a="1"/>
  <c r="E31" i="2" s="1"/>
  <c r="E32" i="2" a="1"/>
  <c r="E32" i="2" s="1"/>
  <c r="G17" i="27" l="1" a="1"/>
  <c r="G17" i="27" s="1"/>
  <c r="G15" i="26" a="1"/>
  <c r="G15" i="26" s="1"/>
  <c r="G17" i="25" a="1"/>
  <c r="G17" i="25" s="1"/>
  <c r="P13" i="26"/>
  <c r="D16" i="18"/>
  <c r="E16" i="18"/>
  <c r="B17" i="18"/>
  <c r="A16" i="18"/>
  <c r="E17" i="28"/>
  <c r="D17" i="28"/>
  <c r="A17" i="28"/>
  <c r="B18" i="28"/>
  <c r="A16" i="22"/>
  <c r="D16" i="22"/>
  <c r="B17" i="22"/>
  <c r="E16" i="22"/>
  <c r="P14" i="23"/>
  <c r="P13" i="24"/>
  <c r="P15" i="25"/>
  <c r="N14" i="26"/>
  <c r="O14" i="26" s="1"/>
  <c r="M14" i="26"/>
  <c r="K15" i="26"/>
  <c r="L15" i="26" s="1"/>
  <c r="E16" i="26"/>
  <c r="D16" i="26"/>
  <c r="C16" i="26" s="1" a="1"/>
  <c r="C16" i="26" s="1"/>
  <c r="B17" i="26"/>
  <c r="A16" i="26"/>
  <c r="P15" i="27"/>
  <c r="B19" i="27"/>
  <c r="E18" i="27"/>
  <c r="G18" i="27" s="1" a="1"/>
  <c r="G18" i="27" s="1"/>
  <c r="D18" i="27"/>
  <c r="C18" i="27" s="1" a="1"/>
  <c r="C18" i="27" s="1"/>
  <c r="A18" i="27"/>
  <c r="K17" i="27"/>
  <c r="L17" i="27" s="1"/>
  <c r="N16" i="27"/>
  <c r="O16" i="27" s="1"/>
  <c r="M16" i="27"/>
  <c r="N16" i="25"/>
  <c r="O16" i="25" s="1"/>
  <c r="M16" i="25"/>
  <c r="B19" i="25"/>
  <c r="E18" i="25"/>
  <c r="D18" i="25"/>
  <c r="C18" i="25" s="1" a="1"/>
  <c r="C18" i="25" s="1"/>
  <c r="A18" i="25"/>
  <c r="K17" i="25"/>
  <c r="L17" i="25" s="1"/>
  <c r="K15" i="24"/>
  <c r="L15" i="24" s="1"/>
  <c r="M14" i="24"/>
  <c r="N14" i="24"/>
  <c r="O14" i="24" s="1"/>
  <c r="D16" i="24"/>
  <c r="C16" i="24" s="1" a="1"/>
  <c r="C16" i="24" s="1"/>
  <c r="B17" i="24"/>
  <c r="A16" i="24"/>
  <c r="E16" i="24"/>
  <c r="N15" i="23"/>
  <c r="O15" i="23" s="1"/>
  <c r="M15" i="23"/>
  <c r="K16" i="23"/>
  <c r="L16" i="23" s="1"/>
  <c r="E17" i="23"/>
  <c r="D17" i="23"/>
  <c r="C17" i="23" s="1" a="1"/>
  <c r="C17" i="23" s="1"/>
  <c r="A17" i="23"/>
  <c r="B18" i="23"/>
  <c r="E17" i="21"/>
  <c r="D17" i="21"/>
  <c r="B18" i="21"/>
  <c r="A17" i="21"/>
  <c r="E17" i="20"/>
  <c r="D17" i="20"/>
  <c r="A17" i="20"/>
  <c r="B18" i="20"/>
  <c r="D16" i="19"/>
  <c r="B17" i="19"/>
  <c r="A16" i="19"/>
  <c r="E16" i="19"/>
  <c r="C5" i="2"/>
  <c r="E5" i="2" s="1" a="1"/>
  <c r="E5" i="2" s="1"/>
  <c r="G16" i="24" l="1" a="1"/>
  <c r="G16" i="24" s="1"/>
  <c r="G18" i="25" a="1"/>
  <c r="G18" i="25" s="1"/>
  <c r="G16" i="26" a="1"/>
  <c r="G16" i="26" s="1"/>
  <c r="G17" i="23" a="1"/>
  <c r="G17" i="23" s="1"/>
  <c r="P15" i="23"/>
  <c r="P14" i="26"/>
  <c r="B18" i="18"/>
  <c r="A17" i="18"/>
  <c r="E17" i="18"/>
  <c r="D17" i="18"/>
  <c r="B19" i="28"/>
  <c r="E18" i="28"/>
  <c r="D18" i="28"/>
  <c r="A18" i="28"/>
  <c r="E17" i="22"/>
  <c r="B18" i="22"/>
  <c r="D17" i="22"/>
  <c r="A17" i="22"/>
  <c r="P14" i="24"/>
  <c r="P16" i="25"/>
  <c r="B18" i="26"/>
  <c r="A17" i="26"/>
  <c r="E17" i="26"/>
  <c r="D17" i="26"/>
  <c r="C17" i="26" s="1" a="1"/>
  <c r="C17" i="26" s="1"/>
  <c r="K16" i="26"/>
  <c r="L16" i="26" s="1"/>
  <c r="N15" i="26"/>
  <c r="O15" i="26" s="1"/>
  <c r="M15" i="26"/>
  <c r="P16" i="27"/>
  <c r="N17" i="27"/>
  <c r="O17" i="27" s="1"/>
  <c r="M17" i="27"/>
  <c r="K18" i="27"/>
  <c r="L18" i="27" s="1"/>
  <c r="A19" i="27"/>
  <c r="E19" i="27"/>
  <c r="G19" i="27" s="1" a="1"/>
  <c r="G19" i="27" s="1"/>
  <c r="B20" i="27"/>
  <c r="D19" i="27"/>
  <c r="C19" i="27" s="1" a="1"/>
  <c r="C19" i="27" s="1"/>
  <c r="N17" i="25"/>
  <c r="O17" i="25" s="1"/>
  <c r="M17" i="25"/>
  <c r="K18" i="25"/>
  <c r="L18" i="25" s="1"/>
  <c r="D19" i="25"/>
  <c r="C19" i="25" s="1" a="1"/>
  <c r="C19" i="25" s="1"/>
  <c r="A19" i="25"/>
  <c r="B20" i="25"/>
  <c r="E19" i="25"/>
  <c r="E17" i="24"/>
  <c r="A17" i="24"/>
  <c r="D17" i="24"/>
  <c r="C17" i="24" s="1" a="1"/>
  <c r="C17" i="24" s="1"/>
  <c r="B18" i="24"/>
  <c r="K16" i="24"/>
  <c r="L16" i="24" s="1"/>
  <c r="N15" i="24"/>
  <c r="O15" i="24" s="1"/>
  <c r="M15" i="24"/>
  <c r="B19" i="23"/>
  <c r="E18" i="23"/>
  <c r="D18" i="23"/>
  <c r="C18" i="23" s="1" a="1"/>
  <c r="C18" i="23" s="1"/>
  <c r="A18" i="23"/>
  <c r="K17" i="23"/>
  <c r="L17" i="23" s="1"/>
  <c r="N16" i="23"/>
  <c r="O16" i="23" s="1"/>
  <c r="M16" i="23"/>
  <c r="B19" i="21"/>
  <c r="E18" i="21"/>
  <c r="D18" i="21"/>
  <c r="A18" i="21"/>
  <c r="B19" i="20"/>
  <c r="E18" i="20"/>
  <c r="D18" i="20"/>
  <c r="A18" i="20"/>
  <c r="E17" i="19"/>
  <c r="D17" i="19"/>
  <c r="B18" i="19"/>
  <c r="A17" i="19"/>
  <c r="F18" i="2" a="1"/>
  <c r="F18" i="2" s="1"/>
  <c r="I18" i="2" s="1"/>
  <c r="J18" i="2" s="1"/>
  <c r="F32" i="2" a="1"/>
  <c r="F32" i="2" s="1"/>
  <c r="I32" i="2" s="1"/>
  <c r="J32" i="2" s="1"/>
  <c r="F17" i="2" a="1"/>
  <c r="F17" i="2" s="1"/>
  <c r="I17" i="2" s="1"/>
  <c r="J17" i="2" s="1"/>
  <c r="F31" i="2" a="1"/>
  <c r="F31" i="2" s="1"/>
  <c r="I31" i="2" s="1"/>
  <c r="J31" i="2" s="1"/>
  <c r="F5" i="2" a="1"/>
  <c r="F5" i="2" s="1"/>
  <c r="I5" i="2" s="1"/>
  <c r="F10" i="2" a="1"/>
  <c r="F10" i="2" s="1"/>
  <c r="I10" i="2" s="1"/>
  <c r="J10" i="2" s="1"/>
  <c r="F25" i="2" a="1"/>
  <c r="F25" i="2" s="1"/>
  <c r="I25" i="2" s="1"/>
  <c r="J25" i="2" s="1"/>
  <c r="F24" i="2" a="1"/>
  <c r="F24" i="2" s="1"/>
  <c r="I24" i="2" s="1"/>
  <c r="J24" i="2" s="1"/>
  <c r="A2" i="2"/>
  <c r="B6" i="2"/>
  <c r="C6" i="2" s="1"/>
  <c r="G17" i="26" l="1" a="1"/>
  <c r="G17" i="26" s="1"/>
  <c r="G18" i="23" a="1"/>
  <c r="G18" i="23" s="1"/>
  <c r="G17" i="24" a="1"/>
  <c r="G17" i="24" s="1"/>
  <c r="G19" i="25" a="1"/>
  <c r="G19" i="25" s="1"/>
  <c r="K19" i="25" s="1"/>
  <c r="L19" i="25" s="1"/>
  <c r="P16" i="23"/>
  <c r="P15" i="26"/>
  <c r="B19" i="18"/>
  <c r="E18" i="18"/>
  <c r="A18" i="18"/>
  <c r="D18" i="18"/>
  <c r="A19" i="28"/>
  <c r="B20" i="28"/>
  <c r="D19" i="28"/>
  <c r="E19" i="28"/>
  <c r="B19" i="22"/>
  <c r="E18" i="22"/>
  <c r="D18" i="22"/>
  <c r="A18" i="22"/>
  <c r="P15" i="24"/>
  <c r="P17" i="25"/>
  <c r="M16" i="26"/>
  <c r="N16" i="26"/>
  <c r="O16" i="26" s="1"/>
  <c r="K17" i="26"/>
  <c r="L17" i="26" s="1"/>
  <c r="B19" i="26"/>
  <c r="D18" i="26"/>
  <c r="C18" i="26" s="1" a="1"/>
  <c r="C18" i="26" s="1"/>
  <c r="E18" i="26"/>
  <c r="A18" i="26"/>
  <c r="P17" i="27"/>
  <c r="A20" i="27"/>
  <c r="E20" i="27"/>
  <c r="D20" i="27"/>
  <c r="C20" i="27" s="1" a="1"/>
  <c r="C20" i="27" s="1"/>
  <c r="B21" i="27"/>
  <c r="K19" i="27"/>
  <c r="L19" i="27" s="1"/>
  <c r="N18" i="27"/>
  <c r="O18" i="27" s="1"/>
  <c r="M18" i="27"/>
  <c r="M18" i="25"/>
  <c r="N18" i="25"/>
  <c r="O18" i="25" s="1"/>
  <c r="A20" i="25"/>
  <c r="B21" i="25"/>
  <c r="E20" i="25"/>
  <c r="D20" i="25"/>
  <c r="C20" i="25" s="1" a="1"/>
  <c r="C20" i="25" s="1"/>
  <c r="B19" i="24"/>
  <c r="E18" i="24"/>
  <c r="D18" i="24"/>
  <c r="C18" i="24" s="1" a="1"/>
  <c r="C18" i="24" s="1"/>
  <c r="A18" i="24"/>
  <c r="N16" i="24"/>
  <c r="O16" i="24" s="1"/>
  <c r="M16" i="24"/>
  <c r="K17" i="24"/>
  <c r="L17" i="24" s="1"/>
  <c r="A19" i="23"/>
  <c r="B20" i="23"/>
  <c r="D19" i="23"/>
  <c r="C19" i="23" s="1" a="1"/>
  <c r="C19" i="23" s="1"/>
  <c r="E19" i="23"/>
  <c r="N17" i="23"/>
  <c r="O17" i="23" s="1"/>
  <c r="M17" i="23"/>
  <c r="K18" i="23"/>
  <c r="L18" i="23" s="1"/>
  <c r="A19" i="21"/>
  <c r="B20" i="21"/>
  <c r="E19" i="21"/>
  <c r="D19" i="21"/>
  <c r="A19" i="20"/>
  <c r="D19" i="20"/>
  <c r="B20" i="20"/>
  <c r="E19" i="20"/>
  <c r="B19" i="19"/>
  <c r="E18" i="19"/>
  <c r="D18" i="19"/>
  <c r="A18" i="19"/>
  <c r="J5" i="2"/>
  <c r="E6" i="2" a="1"/>
  <c r="E6" i="2" s="1"/>
  <c r="F6" i="2" s="1" a="1"/>
  <c r="F6" i="2" s="1"/>
  <c r="I6" i="2" s="1"/>
  <c r="A6" i="2"/>
  <c r="B7" i="2"/>
  <c r="G19" i="23" l="1" a="1"/>
  <c r="G19" i="23" s="1"/>
  <c r="G18" i="24" a="1"/>
  <c r="G18" i="24" s="1"/>
  <c r="G18" i="26" a="1"/>
  <c r="G18" i="26" s="1"/>
  <c r="G20" i="25" a="1"/>
  <c r="G20" i="25" s="1"/>
  <c r="G20" i="27" a="1"/>
  <c r="G20" i="27" s="1"/>
  <c r="P16" i="26"/>
  <c r="E19" i="18"/>
  <c r="D19" i="18"/>
  <c r="B20" i="18"/>
  <c r="A19" i="18"/>
  <c r="A20" i="28"/>
  <c r="D20" i="28"/>
  <c r="B21" i="28"/>
  <c r="E20" i="28"/>
  <c r="D19" i="22"/>
  <c r="A19" i="22"/>
  <c r="E19" i="22"/>
  <c r="B20" i="22"/>
  <c r="P17" i="23"/>
  <c r="P16" i="24"/>
  <c r="P18" i="25"/>
  <c r="P18" i="27"/>
  <c r="B20" i="26"/>
  <c r="A19" i="26"/>
  <c r="E19" i="26"/>
  <c r="D19" i="26"/>
  <c r="C19" i="26" s="1" a="1"/>
  <c r="C19" i="26" s="1"/>
  <c r="M17" i="26"/>
  <c r="N17" i="26"/>
  <c r="O17" i="26" s="1"/>
  <c r="K18" i="26"/>
  <c r="L18" i="26" s="1"/>
  <c r="N19" i="27"/>
  <c r="O19" i="27" s="1"/>
  <c r="M19" i="27"/>
  <c r="E21" i="27"/>
  <c r="D21" i="27"/>
  <c r="C21" i="27" s="1" a="1"/>
  <c r="C21" i="27" s="1"/>
  <c r="B22" i="27"/>
  <c r="A21" i="27"/>
  <c r="K20" i="27"/>
  <c r="L20" i="27" s="1"/>
  <c r="N19" i="25"/>
  <c r="O19" i="25" s="1"/>
  <c r="M19" i="25"/>
  <c r="K20" i="25"/>
  <c r="L20" i="25" s="1"/>
  <c r="E21" i="25"/>
  <c r="D21" i="25"/>
  <c r="C21" i="25" s="1" a="1"/>
  <c r="C21" i="25" s="1"/>
  <c r="A21" i="25"/>
  <c r="B22" i="25"/>
  <c r="K18" i="24"/>
  <c r="L18" i="24" s="1"/>
  <c r="N17" i="24"/>
  <c r="O17" i="24" s="1"/>
  <c r="M17" i="24"/>
  <c r="A19" i="24"/>
  <c r="B20" i="24"/>
  <c r="E19" i="24"/>
  <c r="D19" i="24"/>
  <c r="C19" i="24" s="1" a="1"/>
  <c r="C19" i="24" s="1"/>
  <c r="A20" i="23"/>
  <c r="B21" i="23"/>
  <c r="E20" i="23"/>
  <c r="D20" i="23"/>
  <c r="C20" i="23" s="1" a="1"/>
  <c r="C20" i="23" s="1"/>
  <c r="M18" i="23"/>
  <c r="N18" i="23"/>
  <c r="O18" i="23" s="1"/>
  <c r="K19" i="23"/>
  <c r="L19" i="23" s="1"/>
  <c r="B21" i="21"/>
  <c r="A20" i="21"/>
  <c r="E20" i="21"/>
  <c r="D20" i="21"/>
  <c r="A20" i="20"/>
  <c r="B21" i="20"/>
  <c r="E20" i="20"/>
  <c r="D20" i="20"/>
  <c r="A19" i="19"/>
  <c r="B20" i="19"/>
  <c r="E19" i="19"/>
  <c r="D19" i="19"/>
  <c r="J6" i="2"/>
  <c r="C7" i="2"/>
  <c r="A7" i="2"/>
  <c r="B8" i="2"/>
  <c r="C8" i="2" s="1"/>
  <c r="E8" i="2" s="1" a="1"/>
  <c r="E8" i="2" s="1"/>
  <c r="F8" i="2" s="1" a="1"/>
  <c r="F8" i="2" s="1"/>
  <c r="I8" i="2" s="1"/>
  <c r="J8" i="2" s="1"/>
  <c r="G19" i="24" l="1" a="1"/>
  <c r="G19" i="24" s="1"/>
  <c r="G19" i="26" a="1"/>
  <c r="G19" i="26" s="1"/>
  <c r="G21" i="25" a="1"/>
  <c r="G21" i="25" s="1"/>
  <c r="G21" i="27" a="1"/>
  <c r="G21" i="27" s="1"/>
  <c r="G20" i="23" a="1"/>
  <c r="G20" i="23" s="1"/>
  <c r="K20" i="23" s="1"/>
  <c r="L20" i="23" s="1"/>
  <c r="P19" i="25"/>
  <c r="P17" i="26"/>
  <c r="P17" i="24"/>
  <c r="P18" i="23"/>
  <c r="B21" i="18"/>
  <c r="E20" i="18"/>
  <c r="D20" i="18"/>
  <c r="A20" i="18"/>
  <c r="E21" i="28"/>
  <c r="D21" i="28"/>
  <c r="A21" i="28"/>
  <c r="B22" i="28"/>
  <c r="E20" i="22"/>
  <c r="D20" i="22"/>
  <c r="B21" i="22"/>
  <c r="A20" i="22"/>
  <c r="K19" i="26"/>
  <c r="L19" i="26" s="1"/>
  <c r="M18" i="26"/>
  <c r="N18" i="26"/>
  <c r="O18" i="26" s="1"/>
  <c r="B21" i="26"/>
  <c r="E20" i="26"/>
  <c r="D20" i="26"/>
  <c r="C20" i="26" s="1" a="1"/>
  <c r="C20" i="26" s="1"/>
  <c r="A20" i="26"/>
  <c r="P19" i="27"/>
  <c r="B23" i="27"/>
  <c r="E22" i="27"/>
  <c r="G22" i="27" s="1" a="1"/>
  <c r="G22" i="27" s="1"/>
  <c r="D22" i="27"/>
  <c r="C22" i="27" s="1" a="1"/>
  <c r="C22" i="27" s="1"/>
  <c r="A22" i="27"/>
  <c r="K21" i="27"/>
  <c r="L21" i="27" s="1"/>
  <c r="N20" i="27"/>
  <c r="O20" i="27" s="1"/>
  <c r="M20" i="27"/>
  <c r="K21" i="25"/>
  <c r="L21" i="25" s="1"/>
  <c r="N20" i="25"/>
  <c r="O20" i="25" s="1"/>
  <c r="M20" i="25"/>
  <c r="B23" i="25"/>
  <c r="E22" i="25"/>
  <c r="D22" i="25"/>
  <c r="C22" i="25" s="1" a="1"/>
  <c r="C22" i="25" s="1"/>
  <c r="A22" i="25"/>
  <c r="K19" i="24"/>
  <c r="L19" i="24" s="1"/>
  <c r="M18" i="24"/>
  <c r="N18" i="24"/>
  <c r="O18" i="24" s="1"/>
  <c r="A20" i="24"/>
  <c r="B21" i="24"/>
  <c r="D20" i="24"/>
  <c r="C20" i="24" s="1" a="1"/>
  <c r="C20" i="24" s="1"/>
  <c r="E20" i="24"/>
  <c r="G20" i="24" s="1" a="1"/>
  <c r="G20" i="24" s="1"/>
  <c r="E21" i="23"/>
  <c r="D21" i="23"/>
  <c r="C21" i="23" s="1" a="1"/>
  <c r="C21" i="23" s="1"/>
  <c r="A21" i="23"/>
  <c r="B22" i="23"/>
  <c r="N19" i="23"/>
  <c r="O19" i="23" s="1"/>
  <c r="M19" i="23"/>
  <c r="E21" i="21"/>
  <c r="D21" i="21"/>
  <c r="B22" i="21"/>
  <c r="A21" i="21"/>
  <c r="E21" i="20"/>
  <c r="D21" i="20"/>
  <c r="A21" i="20"/>
  <c r="B22" i="20"/>
  <c r="A20" i="19"/>
  <c r="B21" i="19"/>
  <c r="D20" i="19"/>
  <c r="E20" i="19"/>
  <c r="E7" i="2" a="1"/>
  <c r="E7" i="2" s="1"/>
  <c r="F7" i="2" s="1" a="1"/>
  <c r="F7" i="2" s="1"/>
  <c r="I7" i="2" s="1"/>
  <c r="J7" i="2" s="1"/>
  <c r="B9" i="2"/>
  <c r="A8" i="2"/>
  <c r="G21" i="23" l="1" a="1"/>
  <c r="G21" i="23" s="1"/>
  <c r="G20" i="26" a="1"/>
  <c r="G20" i="26" s="1"/>
  <c r="G22" i="25" a="1"/>
  <c r="G22" i="25" s="1"/>
  <c r="P18" i="24"/>
  <c r="A21" i="18"/>
  <c r="B22" i="18"/>
  <c r="E21" i="18"/>
  <c r="D21" i="18"/>
  <c r="B23" i="28"/>
  <c r="E22" i="28"/>
  <c r="D22" i="28"/>
  <c r="A22" i="28"/>
  <c r="D21" i="22"/>
  <c r="A21" i="22"/>
  <c r="B22" i="22"/>
  <c r="E21" i="22"/>
  <c r="P19" i="23"/>
  <c r="P20" i="25"/>
  <c r="K20" i="26"/>
  <c r="L20" i="26" s="1"/>
  <c r="E21" i="26"/>
  <c r="D21" i="26"/>
  <c r="C21" i="26" s="1" a="1"/>
  <c r="C21" i="26" s="1"/>
  <c r="A21" i="26"/>
  <c r="B22" i="26"/>
  <c r="P18" i="26"/>
  <c r="M19" i="26"/>
  <c r="N19" i="26"/>
  <c r="O19" i="26" s="1"/>
  <c r="P20" i="27"/>
  <c r="N21" i="27"/>
  <c r="O21" i="27" s="1"/>
  <c r="M21" i="27"/>
  <c r="K22" i="27"/>
  <c r="L22" i="27" s="1"/>
  <c r="A23" i="27"/>
  <c r="E23" i="27"/>
  <c r="D23" i="27"/>
  <c r="C23" i="27" s="1" a="1"/>
  <c r="C23" i="27" s="1"/>
  <c r="B24" i="27"/>
  <c r="N21" i="25"/>
  <c r="O21" i="25" s="1"/>
  <c r="M21" i="25"/>
  <c r="K22" i="25"/>
  <c r="L22" i="25" s="1"/>
  <c r="A23" i="25"/>
  <c r="B24" i="25"/>
  <c r="D23" i="25"/>
  <c r="C23" i="25" s="1" a="1"/>
  <c r="C23" i="25" s="1"/>
  <c r="E23" i="25"/>
  <c r="E21" i="24"/>
  <c r="A21" i="24"/>
  <c r="D21" i="24"/>
  <c r="C21" i="24" s="1" a="1"/>
  <c r="C21" i="24" s="1"/>
  <c r="B22" i="24"/>
  <c r="K20" i="24"/>
  <c r="L20" i="24" s="1"/>
  <c r="N19" i="24"/>
  <c r="O19" i="24" s="1"/>
  <c r="M19" i="24"/>
  <c r="B23" i="23"/>
  <c r="E22" i="23"/>
  <c r="D22" i="23"/>
  <c r="C22" i="23" s="1" a="1"/>
  <c r="C22" i="23" s="1"/>
  <c r="A22" i="23"/>
  <c r="K21" i="23"/>
  <c r="L21" i="23" s="1"/>
  <c r="N20" i="23"/>
  <c r="O20" i="23" s="1"/>
  <c r="M20" i="23"/>
  <c r="B23" i="21"/>
  <c r="E22" i="21"/>
  <c r="D22" i="21"/>
  <c r="A22" i="21"/>
  <c r="B23" i="20"/>
  <c r="E22" i="20"/>
  <c r="D22" i="20"/>
  <c r="A22" i="20"/>
  <c r="E21" i="19"/>
  <c r="D21" i="19"/>
  <c r="A21" i="19"/>
  <c r="B22" i="19"/>
  <c r="B10" i="2"/>
  <c r="C9" i="2"/>
  <c r="E9" i="2" s="1" a="1"/>
  <c r="E9" i="2" s="1"/>
  <c r="A9" i="2"/>
  <c r="G21" i="24" l="1" a="1"/>
  <c r="G21" i="24" s="1"/>
  <c r="G23" i="25" a="1"/>
  <c r="G23" i="25" s="1"/>
  <c r="G21" i="26" a="1"/>
  <c r="G21" i="26" s="1"/>
  <c r="G23" i="27" a="1"/>
  <c r="G23" i="27" s="1"/>
  <c r="G22" i="23" a="1"/>
  <c r="G22" i="23" s="1"/>
  <c r="P19" i="24"/>
  <c r="P19" i="26"/>
  <c r="B23" i="18"/>
  <c r="E22" i="18"/>
  <c r="D22" i="18"/>
  <c r="A22" i="18"/>
  <c r="D23" i="28"/>
  <c r="A23" i="28"/>
  <c r="B24" i="28"/>
  <c r="E23" i="28"/>
  <c r="E22" i="22"/>
  <c r="A22" i="22"/>
  <c r="B23" i="22"/>
  <c r="D22" i="22"/>
  <c r="P20" i="23"/>
  <c r="P21" i="25"/>
  <c r="P21" i="27"/>
  <c r="B23" i="26"/>
  <c r="E22" i="26"/>
  <c r="G22" i="26" s="1" a="1"/>
  <c r="G22" i="26" s="1"/>
  <c r="D22" i="26"/>
  <c r="C22" i="26" s="1" a="1"/>
  <c r="C22" i="26" s="1"/>
  <c r="A22" i="26"/>
  <c r="K21" i="26"/>
  <c r="L21" i="26" s="1"/>
  <c r="M20" i="26"/>
  <c r="N20" i="26"/>
  <c r="O20" i="26" s="1"/>
  <c r="K23" i="27"/>
  <c r="L23" i="27" s="1"/>
  <c r="N22" i="27"/>
  <c r="O22" i="27" s="1"/>
  <c r="M22" i="27"/>
  <c r="B25" i="27"/>
  <c r="A24" i="27"/>
  <c r="E24" i="27"/>
  <c r="G24" i="27" s="1" a="1"/>
  <c r="G24" i="27" s="1"/>
  <c r="D24" i="27"/>
  <c r="C24" i="27" s="1" a="1"/>
  <c r="C24" i="27" s="1"/>
  <c r="K23" i="25"/>
  <c r="L23" i="25" s="1"/>
  <c r="A24" i="25"/>
  <c r="B25" i="25"/>
  <c r="E24" i="25"/>
  <c r="G24" i="25" s="1" a="1"/>
  <c r="G24" i="25" s="1"/>
  <c r="D24" i="25"/>
  <c r="C24" i="25" s="1" a="1"/>
  <c r="C24" i="25" s="1"/>
  <c r="N22" i="25"/>
  <c r="O22" i="25" s="1"/>
  <c r="M22" i="25"/>
  <c r="N20" i="24"/>
  <c r="O20" i="24" s="1"/>
  <c r="M20" i="24"/>
  <c r="B23" i="24"/>
  <c r="E22" i="24"/>
  <c r="D22" i="24"/>
  <c r="C22" i="24" s="1" a="1"/>
  <c r="C22" i="24" s="1"/>
  <c r="A22" i="24"/>
  <c r="K21" i="24"/>
  <c r="L21" i="24" s="1"/>
  <c r="N21" i="23"/>
  <c r="O21" i="23" s="1"/>
  <c r="M21" i="23"/>
  <c r="A23" i="23"/>
  <c r="B24" i="23"/>
  <c r="D23" i="23"/>
  <c r="C23" i="23" s="1" a="1"/>
  <c r="C23" i="23" s="1"/>
  <c r="E23" i="23"/>
  <c r="K22" i="23"/>
  <c r="L22" i="23" s="1"/>
  <c r="A23" i="21"/>
  <c r="B24" i="21"/>
  <c r="E23" i="21"/>
  <c r="D23" i="21"/>
  <c r="A23" i="20"/>
  <c r="B24" i="20"/>
  <c r="E23" i="20"/>
  <c r="D23" i="20"/>
  <c r="B23" i="19"/>
  <c r="D22" i="19"/>
  <c r="E22" i="19"/>
  <c r="A22" i="19"/>
  <c r="F9" i="2" a="1"/>
  <c r="F9" i="2" s="1"/>
  <c r="I9" i="2" s="1"/>
  <c r="J9" i="2" s="1"/>
  <c r="B11" i="2"/>
  <c r="A10" i="2"/>
  <c r="G22" i="24" l="1" a="1"/>
  <c r="G22" i="24" s="1"/>
  <c r="G23" i="23" a="1"/>
  <c r="G23" i="23" s="1"/>
  <c r="P21" i="23"/>
  <c r="A23" i="18"/>
  <c r="E23" i="18"/>
  <c r="D23" i="18"/>
  <c r="B24" i="18"/>
  <c r="A24" i="28"/>
  <c r="B25" i="28"/>
  <c r="E24" i="28"/>
  <c r="D24" i="28"/>
  <c r="B24" i="22"/>
  <c r="E23" i="22"/>
  <c r="D23" i="22"/>
  <c r="A23" i="22"/>
  <c r="P20" i="24"/>
  <c r="P22" i="25"/>
  <c r="E23" i="26"/>
  <c r="D23" i="26"/>
  <c r="C23" i="26" s="1" a="1"/>
  <c r="C23" i="26" s="1"/>
  <c r="A23" i="26"/>
  <c r="B24" i="26"/>
  <c r="P20" i="26"/>
  <c r="N21" i="26"/>
  <c r="O21" i="26" s="1"/>
  <c r="M21" i="26"/>
  <c r="K22" i="26"/>
  <c r="L22" i="26" s="1"/>
  <c r="P22" i="27"/>
  <c r="K24" i="27"/>
  <c r="L24" i="27" s="1"/>
  <c r="E25" i="27"/>
  <c r="D25" i="27"/>
  <c r="C25" i="27" s="1" a="1"/>
  <c r="C25" i="27" s="1"/>
  <c r="A25" i="27"/>
  <c r="B26" i="27"/>
  <c r="N23" i="27"/>
  <c r="O23" i="27" s="1"/>
  <c r="M23" i="27"/>
  <c r="N23" i="25"/>
  <c r="O23" i="25" s="1"/>
  <c r="M23" i="25"/>
  <c r="K24" i="25"/>
  <c r="L24" i="25" s="1"/>
  <c r="E25" i="25"/>
  <c r="D25" i="25"/>
  <c r="C25" i="25" s="1" a="1"/>
  <c r="C25" i="25" s="1"/>
  <c r="A25" i="25"/>
  <c r="B26" i="25"/>
  <c r="K22" i="24"/>
  <c r="L22" i="24" s="1"/>
  <c r="A23" i="24"/>
  <c r="D23" i="24"/>
  <c r="C23" i="24" s="1" a="1"/>
  <c r="C23" i="24" s="1"/>
  <c r="B24" i="24"/>
  <c r="E23" i="24"/>
  <c r="N21" i="24"/>
  <c r="O21" i="24" s="1"/>
  <c r="M21" i="24"/>
  <c r="A24" i="23"/>
  <c r="B25" i="23"/>
  <c r="E24" i="23"/>
  <c r="D24" i="23"/>
  <c r="C24" i="23" s="1" a="1"/>
  <c r="C24" i="23" s="1"/>
  <c r="N22" i="23"/>
  <c r="O22" i="23" s="1"/>
  <c r="M22" i="23"/>
  <c r="K23" i="23"/>
  <c r="L23" i="23" s="1"/>
  <c r="B25" i="21"/>
  <c r="A24" i="21"/>
  <c r="E24" i="21"/>
  <c r="D24" i="21"/>
  <c r="A24" i="20"/>
  <c r="B25" i="20"/>
  <c r="E24" i="20"/>
  <c r="D24" i="20"/>
  <c r="A23" i="19"/>
  <c r="B24" i="19"/>
  <c r="E23" i="19"/>
  <c r="D23" i="19"/>
  <c r="B12" i="2"/>
  <c r="A11" i="2"/>
  <c r="G23" i="24" l="1" a="1"/>
  <c r="G23" i="24" s="1"/>
  <c r="G25" i="25" a="1"/>
  <c r="G25" i="25" s="1"/>
  <c r="G25" i="27" a="1"/>
  <c r="G25" i="27" s="1"/>
  <c r="G24" i="23" a="1"/>
  <c r="G24" i="23" s="1"/>
  <c r="G23" i="26" a="1"/>
  <c r="G23" i="26" s="1"/>
  <c r="P21" i="26"/>
  <c r="P21" i="24"/>
  <c r="A24" i="18"/>
  <c r="E24" i="18"/>
  <c r="B25" i="18"/>
  <c r="D24" i="18"/>
  <c r="E25" i="28"/>
  <c r="A25" i="28"/>
  <c r="D25" i="28"/>
  <c r="B26" i="28"/>
  <c r="A24" i="22"/>
  <c r="B25" i="22"/>
  <c r="E24" i="22"/>
  <c r="D24" i="22"/>
  <c r="P22" i="23"/>
  <c r="P23" i="25"/>
  <c r="A24" i="26"/>
  <c r="B25" i="26"/>
  <c r="E24" i="26"/>
  <c r="D24" i="26"/>
  <c r="C24" i="26" s="1" a="1"/>
  <c r="C24" i="26" s="1"/>
  <c r="N22" i="26"/>
  <c r="O22" i="26" s="1"/>
  <c r="M22" i="26"/>
  <c r="K23" i="26"/>
  <c r="L23" i="26" s="1"/>
  <c r="P23" i="27"/>
  <c r="B27" i="27"/>
  <c r="E26" i="27"/>
  <c r="D26" i="27"/>
  <c r="C26" i="27" s="1" a="1"/>
  <c r="C26" i="27" s="1"/>
  <c r="A26" i="27"/>
  <c r="K25" i="27"/>
  <c r="L25" i="27" s="1"/>
  <c r="N24" i="27"/>
  <c r="O24" i="27" s="1"/>
  <c r="M24" i="27"/>
  <c r="K25" i="25"/>
  <c r="L25" i="25" s="1"/>
  <c r="N24" i="25"/>
  <c r="O24" i="25" s="1"/>
  <c r="M24" i="25"/>
  <c r="B27" i="25"/>
  <c r="E26" i="25"/>
  <c r="D26" i="25"/>
  <c r="C26" i="25" s="1" a="1"/>
  <c r="C26" i="25" s="1"/>
  <c r="A26" i="25"/>
  <c r="K23" i="24"/>
  <c r="L23" i="24" s="1"/>
  <c r="E24" i="24"/>
  <c r="G24" i="24" s="1" a="1"/>
  <c r="G24" i="24" s="1"/>
  <c r="A24" i="24"/>
  <c r="B25" i="24"/>
  <c r="D24" i="24"/>
  <c r="C24" i="24" s="1" a="1"/>
  <c r="C24" i="24" s="1"/>
  <c r="M22" i="24"/>
  <c r="N22" i="24"/>
  <c r="O22" i="24" s="1"/>
  <c r="N23" i="23"/>
  <c r="O23" i="23" s="1"/>
  <c r="M23" i="23"/>
  <c r="K24" i="23"/>
  <c r="L24" i="23" s="1"/>
  <c r="E25" i="23"/>
  <c r="G25" i="23" s="1" a="1"/>
  <c r="G25" i="23" s="1"/>
  <c r="D25" i="23"/>
  <c r="C25" i="23" s="1" a="1"/>
  <c r="C25" i="23" s="1"/>
  <c r="A25" i="23"/>
  <c r="B26" i="23"/>
  <c r="E25" i="21"/>
  <c r="D25" i="21"/>
  <c r="B26" i="21"/>
  <c r="A25" i="21"/>
  <c r="E25" i="20"/>
  <c r="D25" i="20"/>
  <c r="A25" i="20"/>
  <c r="B26" i="20"/>
  <c r="A24" i="19"/>
  <c r="B25" i="19"/>
  <c r="E24" i="19"/>
  <c r="D24" i="19"/>
  <c r="B13" i="2"/>
  <c r="A12" i="2"/>
  <c r="C12" i="2"/>
  <c r="G24" i="26" l="1" a="1"/>
  <c r="G24" i="26" s="1"/>
  <c r="G26" i="25" a="1"/>
  <c r="G26" i="25" s="1"/>
  <c r="G26" i="27" a="1"/>
  <c r="G26" i="27" s="1"/>
  <c r="P24" i="25"/>
  <c r="B26" i="18"/>
  <c r="E25" i="18"/>
  <c r="A25" i="18"/>
  <c r="D25" i="18"/>
  <c r="B27" i="28"/>
  <c r="E26" i="28"/>
  <c r="D26" i="28"/>
  <c r="A26" i="28"/>
  <c r="D25" i="22"/>
  <c r="E25" i="22"/>
  <c r="B26" i="22"/>
  <c r="A25" i="22"/>
  <c r="P23" i="23"/>
  <c r="P22" i="24"/>
  <c r="P22" i="26"/>
  <c r="K24" i="26"/>
  <c r="L24" i="26" s="1"/>
  <c r="N23" i="26"/>
  <c r="O23" i="26" s="1"/>
  <c r="M23" i="26"/>
  <c r="E25" i="26"/>
  <c r="D25" i="26"/>
  <c r="C25" i="26" s="1" a="1"/>
  <c r="C25" i="26" s="1"/>
  <c r="B26" i="26"/>
  <c r="A25" i="26"/>
  <c r="P24" i="27"/>
  <c r="N25" i="27"/>
  <c r="O25" i="27" s="1"/>
  <c r="M25" i="27"/>
  <c r="K26" i="27"/>
  <c r="L26" i="27" s="1"/>
  <c r="A27" i="27"/>
  <c r="E27" i="27"/>
  <c r="G27" i="27" s="1" a="1"/>
  <c r="G27" i="27" s="1"/>
  <c r="B28" i="27"/>
  <c r="D27" i="27"/>
  <c r="C27" i="27" s="1" a="1"/>
  <c r="C27" i="27" s="1"/>
  <c r="K26" i="25"/>
  <c r="L26" i="25" s="1"/>
  <c r="A27" i="25"/>
  <c r="D27" i="25"/>
  <c r="C27" i="25" s="1" a="1"/>
  <c r="C27" i="25" s="1"/>
  <c r="B28" i="25"/>
  <c r="E27" i="25"/>
  <c r="N25" i="25"/>
  <c r="O25" i="25" s="1"/>
  <c r="M25" i="25"/>
  <c r="E25" i="24"/>
  <c r="D25" i="24"/>
  <c r="C25" i="24" s="1" a="1"/>
  <c r="C25" i="24" s="1"/>
  <c r="A25" i="24"/>
  <c r="B26" i="24"/>
  <c r="K24" i="24"/>
  <c r="L24" i="24" s="1"/>
  <c r="M23" i="24"/>
  <c r="N23" i="24"/>
  <c r="O23" i="24" s="1"/>
  <c r="K25" i="23"/>
  <c r="L25" i="23" s="1"/>
  <c r="B27" i="23"/>
  <c r="E26" i="23"/>
  <c r="D26" i="23"/>
  <c r="C26" i="23" s="1" a="1"/>
  <c r="C26" i="23" s="1"/>
  <c r="A26" i="23"/>
  <c r="N24" i="23"/>
  <c r="O24" i="23" s="1"/>
  <c r="M24" i="23"/>
  <c r="B27" i="21"/>
  <c r="E26" i="21"/>
  <c r="D26" i="21"/>
  <c r="A26" i="21"/>
  <c r="B27" i="20"/>
  <c r="A26" i="20"/>
  <c r="E26" i="20"/>
  <c r="D26" i="20"/>
  <c r="E25" i="19"/>
  <c r="D25" i="19"/>
  <c r="A25" i="19"/>
  <c r="B26" i="19"/>
  <c r="E12" i="2" a="1"/>
  <c r="E12" i="2" s="1"/>
  <c r="F12" i="2" s="1" a="1"/>
  <c r="F12" i="2" s="1"/>
  <c r="I12" i="2" s="1"/>
  <c r="J12" i="2" s="1"/>
  <c r="B14" i="2"/>
  <c r="C13" i="2"/>
  <c r="A13" i="2"/>
  <c r="G27" i="25" l="1" a="1"/>
  <c r="G27" i="25" s="1"/>
  <c r="G25" i="26" a="1"/>
  <c r="G25" i="26" s="1"/>
  <c r="G26" i="23" a="1"/>
  <c r="G26" i="23" s="1"/>
  <c r="G25" i="24" a="1"/>
  <c r="G25" i="24" s="1"/>
  <c r="P23" i="26"/>
  <c r="P23" i="24"/>
  <c r="P25" i="25"/>
  <c r="B27" i="18"/>
  <c r="D26" i="18"/>
  <c r="E26" i="18"/>
  <c r="A26" i="18"/>
  <c r="A27" i="28"/>
  <c r="B28" i="28"/>
  <c r="E27" i="28"/>
  <c r="D27" i="28"/>
  <c r="A26" i="22"/>
  <c r="B27" i="22"/>
  <c r="D26" i="22"/>
  <c r="E26" i="22"/>
  <c r="P24" i="23"/>
  <c r="K25" i="26"/>
  <c r="L25" i="26" s="1"/>
  <c r="B27" i="26"/>
  <c r="D26" i="26"/>
  <c r="C26" i="26" s="1" a="1"/>
  <c r="C26" i="26" s="1"/>
  <c r="A26" i="26"/>
  <c r="E26" i="26"/>
  <c r="G26" i="26" s="1" a="1"/>
  <c r="G26" i="26" s="1"/>
  <c r="N24" i="26"/>
  <c r="O24" i="26" s="1"/>
  <c r="M24" i="26"/>
  <c r="P25" i="27"/>
  <c r="K27" i="27"/>
  <c r="L27" i="27" s="1"/>
  <c r="A28" i="27"/>
  <c r="E28" i="27"/>
  <c r="D28" i="27"/>
  <c r="C28" i="27" s="1" a="1"/>
  <c r="C28" i="27" s="1"/>
  <c r="B29" i="27"/>
  <c r="N26" i="27"/>
  <c r="O26" i="27" s="1"/>
  <c r="M26" i="27"/>
  <c r="K27" i="25"/>
  <c r="L27" i="25" s="1"/>
  <c r="A28" i="25"/>
  <c r="B29" i="25"/>
  <c r="E28" i="25"/>
  <c r="D28" i="25"/>
  <c r="C28" i="25" s="1" a="1"/>
  <c r="C28" i="25" s="1"/>
  <c r="N26" i="25"/>
  <c r="O26" i="25" s="1"/>
  <c r="M26" i="25"/>
  <c r="N24" i="24"/>
  <c r="O24" i="24" s="1"/>
  <c r="M24" i="24"/>
  <c r="B27" i="24"/>
  <c r="E26" i="24"/>
  <c r="D26" i="24"/>
  <c r="C26" i="24" s="1" a="1"/>
  <c r="C26" i="24" s="1"/>
  <c r="A26" i="24"/>
  <c r="K25" i="24"/>
  <c r="L25" i="24" s="1"/>
  <c r="K26" i="23"/>
  <c r="L26" i="23" s="1"/>
  <c r="A27" i="23"/>
  <c r="D27" i="23"/>
  <c r="C27" i="23" s="1" a="1"/>
  <c r="C27" i="23" s="1"/>
  <c r="B28" i="23"/>
  <c r="E27" i="23"/>
  <c r="N25" i="23"/>
  <c r="O25" i="23" s="1"/>
  <c r="M25" i="23"/>
  <c r="A27" i="21"/>
  <c r="B28" i="21"/>
  <c r="E27" i="21"/>
  <c r="D27" i="21"/>
  <c r="D27" i="20"/>
  <c r="A27" i="20"/>
  <c r="B28" i="20"/>
  <c r="E27" i="20"/>
  <c r="B27" i="19"/>
  <c r="E26" i="19"/>
  <c r="D26" i="19"/>
  <c r="A26" i="19"/>
  <c r="E13" i="2" a="1"/>
  <c r="E13" i="2" s="1"/>
  <c r="F13" i="2" s="1" a="1"/>
  <c r="F13" i="2" s="1"/>
  <c r="I13" i="2" s="1"/>
  <c r="J13" i="2" s="1"/>
  <c r="B15" i="2"/>
  <c r="C14" i="2"/>
  <c r="A14" i="2"/>
  <c r="P24" i="24" l="1"/>
  <c r="P24" i="26"/>
  <c r="G28" i="25" a="1"/>
  <c r="G28" i="25" s="1"/>
  <c r="K28" i="25" s="1"/>
  <c r="L28" i="25" s="1"/>
  <c r="G28" i="27" a="1"/>
  <c r="G28" i="27" s="1"/>
  <c r="K28" i="27" s="1"/>
  <c r="L28" i="27" s="1"/>
  <c r="G27" i="23" a="1"/>
  <c r="G27" i="23" s="1"/>
  <c r="G26" i="24" a="1"/>
  <c r="G26" i="24" s="1"/>
  <c r="P26" i="25"/>
  <c r="A27" i="18"/>
  <c r="D27" i="18"/>
  <c r="B28" i="18"/>
  <c r="E27" i="18"/>
  <c r="A28" i="28"/>
  <c r="B29" i="28"/>
  <c r="E28" i="28"/>
  <c r="D28" i="28"/>
  <c r="A27" i="22"/>
  <c r="B28" i="22"/>
  <c r="D27" i="22"/>
  <c r="E27" i="22"/>
  <c r="P25" i="23"/>
  <c r="K26" i="26"/>
  <c r="L26" i="26" s="1"/>
  <c r="B28" i="26"/>
  <c r="E27" i="26"/>
  <c r="G27" i="26" s="1" a="1"/>
  <c r="G27" i="26" s="1"/>
  <c r="D27" i="26"/>
  <c r="C27" i="26" s="1" a="1"/>
  <c r="C27" i="26" s="1"/>
  <c r="A27" i="26"/>
  <c r="N25" i="26"/>
  <c r="O25" i="26" s="1"/>
  <c r="M25" i="26"/>
  <c r="P26" i="27"/>
  <c r="E29" i="27"/>
  <c r="D29" i="27"/>
  <c r="C29" i="27" s="1" a="1"/>
  <c r="C29" i="27" s="1"/>
  <c r="B30" i="27"/>
  <c r="A29" i="27"/>
  <c r="N27" i="27"/>
  <c r="O27" i="27" s="1"/>
  <c r="M27" i="27"/>
  <c r="E29" i="25"/>
  <c r="D29" i="25"/>
  <c r="C29" i="25" s="1" a="1"/>
  <c r="C29" i="25" s="1"/>
  <c r="A29" i="25"/>
  <c r="B30" i="25"/>
  <c r="N27" i="25"/>
  <c r="O27" i="25" s="1"/>
  <c r="M27" i="25"/>
  <c r="K26" i="24"/>
  <c r="L26" i="24" s="1"/>
  <c r="D27" i="24"/>
  <c r="C27" i="24" s="1" a="1"/>
  <c r="C27" i="24" s="1"/>
  <c r="A27" i="24"/>
  <c r="B28" i="24"/>
  <c r="E27" i="24"/>
  <c r="G27" i="24" s="1" a="1"/>
  <c r="G27" i="24" s="1"/>
  <c r="N25" i="24"/>
  <c r="O25" i="24" s="1"/>
  <c r="M25" i="24"/>
  <c r="K27" i="23"/>
  <c r="L27" i="23" s="1"/>
  <c r="A28" i="23"/>
  <c r="B29" i="23"/>
  <c r="E28" i="23"/>
  <c r="D28" i="23"/>
  <c r="C28" i="23" s="1" a="1"/>
  <c r="C28" i="23" s="1"/>
  <c r="M26" i="23"/>
  <c r="N26" i="23"/>
  <c r="O26" i="23" s="1"/>
  <c r="B29" i="21"/>
  <c r="A28" i="21"/>
  <c r="E28" i="21"/>
  <c r="D28" i="21"/>
  <c r="A28" i="20"/>
  <c r="B29" i="20"/>
  <c r="D28" i="20"/>
  <c r="E28" i="20"/>
  <c r="A27" i="19"/>
  <c r="B28" i="19"/>
  <c r="E27" i="19"/>
  <c r="D27" i="19"/>
  <c r="E14" i="2" a="1"/>
  <c r="E14" i="2" s="1"/>
  <c r="F14" i="2" s="1" a="1"/>
  <c r="F14" i="2" s="1"/>
  <c r="I14" i="2" s="1"/>
  <c r="J14" i="2" s="1"/>
  <c r="B16" i="2"/>
  <c r="A15" i="2"/>
  <c r="C15" i="2"/>
  <c r="E15" i="2" s="1" a="1"/>
  <c r="E15" i="2" s="1"/>
  <c r="F15" i="2" s="1" a="1"/>
  <c r="F15" i="2" s="1"/>
  <c r="I15" i="2" s="1"/>
  <c r="J15" i="2" s="1"/>
  <c r="G29" i="25" l="1" a="1"/>
  <c r="G29" i="25" s="1"/>
  <c r="G28" i="23" a="1"/>
  <c r="G28" i="23" s="1"/>
  <c r="G29" i="27" a="1"/>
  <c r="G29" i="27" s="1"/>
  <c r="P25" i="26"/>
  <c r="P25" i="24"/>
  <c r="P27" i="27"/>
  <c r="P27" i="25"/>
  <c r="A28" i="18"/>
  <c r="B29" i="18"/>
  <c r="E28" i="18"/>
  <c r="D28" i="18"/>
  <c r="E29" i="28"/>
  <c r="D29" i="28"/>
  <c r="A29" i="28"/>
  <c r="B30" i="28"/>
  <c r="A28" i="22"/>
  <c r="B29" i="22"/>
  <c r="D28" i="22"/>
  <c r="E28" i="22"/>
  <c r="P26" i="23"/>
  <c r="K27" i="26"/>
  <c r="L27" i="26" s="1"/>
  <c r="A28" i="26"/>
  <c r="E28" i="26"/>
  <c r="B29" i="26"/>
  <c r="D28" i="26"/>
  <c r="C28" i="26" s="1" a="1"/>
  <c r="C28" i="26" s="1"/>
  <c r="M26" i="26"/>
  <c r="N26" i="26"/>
  <c r="O26" i="26" s="1"/>
  <c r="N28" i="27"/>
  <c r="O28" i="27" s="1"/>
  <c r="M28" i="27"/>
  <c r="B31" i="27"/>
  <c r="E30" i="27"/>
  <c r="D30" i="27"/>
  <c r="C30" i="27" s="1" a="1"/>
  <c r="C30" i="27" s="1"/>
  <c r="A30" i="27"/>
  <c r="K29" i="27"/>
  <c r="L29" i="27" s="1"/>
  <c r="B31" i="25"/>
  <c r="E30" i="25"/>
  <c r="D30" i="25"/>
  <c r="C30" i="25" s="1" a="1"/>
  <c r="C30" i="25" s="1"/>
  <c r="A30" i="25"/>
  <c r="K29" i="25"/>
  <c r="L29" i="25" s="1"/>
  <c r="N28" i="25"/>
  <c r="O28" i="25" s="1"/>
  <c r="M28" i="25"/>
  <c r="K27" i="24"/>
  <c r="L27" i="24" s="1"/>
  <c r="E28" i="24"/>
  <c r="G28" i="24" s="1" a="1"/>
  <c r="G28" i="24" s="1"/>
  <c r="A28" i="24"/>
  <c r="B29" i="24"/>
  <c r="D28" i="24"/>
  <c r="C28" i="24" s="1" a="1"/>
  <c r="C28" i="24" s="1"/>
  <c r="M26" i="24"/>
  <c r="N26" i="24"/>
  <c r="O26" i="24" s="1"/>
  <c r="K28" i="23"/>
  <c r="L28" i="23" s="1"/>
  <c r="E29" i="23"/>
  <c r="D29" i="23"/>
  <c r="C29" i="23" s="1" a="1"/>
  <c r="C29" i="23" s="1"/>
  <c r="A29" i="23"/>
  <c r="B30" i="23"/>
  <c r="N27" i="23"/>
  <c r="O27" i="23" s="1"/>
  <c r="M27" i="23"/>
  <c r="E29" i="21"/>
  <c r="D29" i="21"/>
  <c r="B30" i="21"/>
  <c r="A29" i="21"/>
  <c r="E29" i="20"/>
  <c r="D29" i="20"/>
  <c r="A29" i="20"/>
  <c r="B30" i="20"/>
  <c r="A28" i="19"/>
  <c r="B29" i="19"/>
  <c r="E28" i="19"/>
  <c r="D28" i="19"/>
  <c r="B17" i="2"/>
  <c r="C16" i="2"/>
  <c r="A16" i="2"/>
  <c r="G30" i="25" l="1" a="1"/>
  <c r="G30" i="25" s="1"/>
  <c r="G29" i="23" a="1"/>
  <c r="G29" i="23" s="1"/>
  <c r="G30" i="27" a="1"/>
  <c r="G30" i="27" s="1"/>
  <c r="G28" i="26" a="1"/>
  <c r="G28" i="26" s="1"/>
  <c r="P27" i="23"/>
  <c r="P28" i="25"/>
  <c r="D29" i="18"/>
  <c r="E29" i="18"/>
  <c r="A29" i="18"/>
  <c r="B30" i="18"/>
  <c r="B31" i="28"/>
  <c r="E30" i="28"/>
  <c r="D30" i="28"/>
  <c r="A30" i="28"/>
  <c r="E29" i="22"/>
  <c r="A29" i="22"/>
  <c r="B30" i="22"/>
  <c r="D29" i="22"/>
  <c r="P26" i="24"/>
  <c r="P28" i="27"/>
  <c r="K28" i="26"/>
  <c r="L28" i="26" s="1"/>
  <c r="P26" i="26"/>
  <c r="B30" i="26"/>
  <c r="D29" i="26"/>
  <c r="C29" i="26" s="1" a="1"/>
  <c r="C29" i="26" s="1"/>
  <c r="A29" i="26"/>
  <c r="E29" i="26"/>
  <c r="N27" i="26"/>
  <c r="O27" i="26" s="1"/>
  <c r="M27" i="26"/>
  <c r="K30" i="27"/>
  <c r="L30" i="27" s="1"/>
  <c r="N29" i="27"/>
  <c r="O29" i="27" s="1"/>
  <c r="M29" i="27"/>
  <c r="A31" i="27"/>
  <c r="E31" i="27"/>
  <c r="D31" i="27"/>
  <c r="C31" i="27" s="1" a="1"/>
  <c r="C31" i="27" s="1"/>
  <c r="B32" i="27"/>
  <c r="N29" i="25"/>
  <c r="O29" i="25" s="1"/>
  <c r="M29" i="25"/>
  <c r="K30" i="25"/>
  <c r="L30" i="25" s="1"/>
  <c r="A31" i="25"/>
  <c r="B32" i="25"/>
  <c r="E31" i="25"/>
  <c r="D31" i="25"/>
  <c r="C31" i="25" s="1" a="1"/>
  <c r="C31" i="25" s="1"/>
  <c r="E29" i="24"/>
  <c r="D29" i="24"/>
  <c r="C29" i="24" s="1" a="1"/>
  <c r="C29" i="24" s="1"/>
  <c r="B30" i="24"/>
  <c r="A29" i="24"/>
  <c r="K28" i="24"/>
  <c r="L28" i="24" s="1"/>
  <c r="N27" i="24"/>
  <c r="O27" i="24" s="1"/>
  <c r="M27" i="24"/>
  <c r="B31" i="23"/>
  <c r="E30" i="23"/>
  <c r="D30" i="23"/>
  <c r="C30" i="23" s="1" a="1"/>
  <c r="C30" i="23" s="1"/>
  <c r="A30" i="23"/>
  <c r="K29" i="23"/>
  <c r="L29" i="23" s="1"/>
  <c r="N28" i="23"/>
  <c r="O28" i="23" s="1"/>
  <c r="M28" i="23"/>
  <c r="B31" i="21"/>
  <c r="E30" i="21"/>
  <c r="D30" i="21"/>
  <c r="A30" i="21"/>
  <c r="B31" i="20"/>
  <c r="A30" i="20"/>
  <c r="E30" i="20"/>
  <c r="D30" i="20"/>
  <c r="E29" i="19"/>
  <c r="D29" i="19"/>
  <c r="A29" i="19"/>
  <c r="B30" i="19"/>
  <c r="E16" i="2" a="1"/>
  <c r="E16" i="2" s="1"/>
  <c r="F16" i="2" s="1" a="1"/>
  <c r="F16" i="2" s="1"/>
  <c r="I16" i="2" s="1"/>
  <c r="J16" i="2" s="1"/>
  <c r="B18" i="2"/>
  <c r="A17" i="2"/>
  <c r="G30" i="23" l="1" a="1"/>
  <c r="G30" i="23" s="1"/>
  <c r="G29" i="24" a="1"/>
  <c r="G29" i="24" s="1"/>
  <c r="G29" i="26" a="1"/>
  <c r="G29" i="26" s="1"/>
  <c r="G31" i="25" a="1"/>
  <c r="G31" i="25" s="1"/>
  <c r="G31" i="27" a="1"/>
  <c r="G31" i="27" s="1"/>
  <c r="P27" i="24"/>
  <c r="E30" i="18"/>
  <c r="A30" i="18"/>
  <c r="D30" i="18"/>
  <c r="B31" i="18"/>
  <c r="A31" i="28"/>
  <c r="B32" i="28"/>
  <c r="D31" i="28"/>
  <c r="E31" i="28"/>
  <c r="D30" i="22"/>
  <c r="A30" i="22"/>
  <c r="B31" i="22"/>
  <c r="E30" i="22"/>
  <c r="P28" i="23"/>
  <c r="P29" i="25"/>
  <c r="K29" i="26"/>
  <c r="L29" i="26" s="1"/>
  <c r="D30" i="26"/>
  <c r="C30" i="26" s="1" a="1"/>
  <c r="C30" i="26" s="1"/>
  <c r="A30" i="26"/>
  <c r="B31" i="26"/>
  <c r="E30" i="26"/>
  <c r="G30" i="26" s="1" a="1"/>
  <c r="G30" i="26" s="1"/>
  <c r="N28" i="26"/>
  <c r="O28" i="26" s="1"/>
  <c r="M28" i="26"/>
  <c r="P27" i="26"/>
  <c r="P29" i="27"/>
  <c r="K31" i="27"/>
  <c r="L31" i="27" s="1"/>
  <c r="N30" i="27"/>
  <c r="O30" i="27" s="1"/>
  <c r="M30" i="27"/>
  <c r="B33" i="27"/>
  <c r="A32" i="27"/>
  <c r="E32" i="27"/>
  <c r="G32" i="27" s="1" a="1"/>
  <c r="G32" i="27" s="1"/>
  <c r="D32" i="27"/>
  <c r="C32" i="27" s="1" a="1"/>
  <c r="C32" i="27" s="1"/>
  <c r="A32" i="25"/>
  <c r="B33" i="25"/>
  <c r="E32" i="25"/>
  <c r="D32" i="25"/>
  <c r="C32" i="25" s="1" a="1"/>
  <c r="C32" i="25" s="1"/>
  <c r="N30" i="25"/>
  <c r="O30" i="25" s="1"/>
  <c r="M30" i="25"/>
  <c r="K31" i="25"/>
  <c r="L31" i="25" s="1"/>
  <c r="N28" i="24"/>
  <c r="O28" i="24" s="1"/>
  <c r="M28" i="24"/>
  <c r="B31" i="24"/>
  <c r="E30" i="24"/>
  <c r="D30" i="24"/>
  <c r="C30" i="24" s="1" a="1"/>
  <c r="C30" i="24" s="1"/>
  <c r="A30" i="24"/>
  <c r="K29" i="24"/>
  <c r="L29" i="24" s="1"/>
  <c r="K30" i="23"/>
  <c r="L30" i="23" s="1"/>
  <c r="N29" i="23"/>
  <c r="O29" i="23" s="1"/>
  <c r="M29" i="23"/>
  <c r="A31" i="23"/>
  <c r="B32" i="23"/>
  <c r="E31" i="23"/>
  <c r="D31" i="23"/>
  <c r="C31" i="23" s="1" a="1"/>
  <c r="C31" i="23" s="1"/>
  <c r="A31" i="21"/>
  <c r="B32" i="21"/>
  <c r="E31" i="21"/>
  <c r="D31" i="21"/>
  <c r="A31" i="20"/>
  <c r="B32" i="20"/>
  <c r="D31" i="20"/>
  <c r="E31" i="20"/>
  <c r="B31" i="19"/>
  <c r="E30" i="19"/>
  <c r="D30" i="19"/>
  <c r="A30" i="19"/>
  <c r="B19" i="2"/>
  <c r="A18" i="2"/>
  <c r="G31" i="23" l="1" a="1"/>
  <c r="G31" i="23" s="1"/>
  <c r="G30" i="24" a="1"/>
  <c r="G30" i="24" s="1"/>
  <c r="G32" i="25" a="1"/>
  <c r="G32" i="25" s="1"/>
  <c r="P28" i="24"/>
  <c r="A31" i="18"/>
  <c r="E31" i="18"/>
  <c r="D31" i="18"/>
  <c r="B32" i="18"/>
  <c r="A32" i="28"/>
  <c r="B33" i="28"/>
  <c r="E32" i="28"/>
  <c r="D32" i="28"/>
  <c r="D31" i="22"/>
  <c r="A31" i="22"/>
  <c r="B32" i="22"/>
  <c r="E31" i="22"/>
  <c r="P29" i="23"/>
  <c r="P30" i="25"/>
  <c r="P30" i="27"/>
  <c r="K30" i="26"/>
  <c r="L30" i="26" s="1"/>
  <c r="D31" i="26"/>
  <c r="C31" i="26" s="1" a="1"/>
  <c r="C31" i="26" s="1"/>
  <c r="E31" i="26"/>
  <c r="B32" i="26"/>
  <c r="A31" i="26"/>
  <c r="P28" i="26"/>
  <c r="N29" i="26"/>
  <c r="O29" i="26" s="1"/>
  <c r="M29" i="26"/>
  <c r="E33" i="27"/>
  <c r="G33" i="27" s="1" a="1"/>
  <c r="G33" i="27" s="1"/>
  <c r="D33" i="27"/>
  <c r="C33" i="27" s="1" a="1"/>
  <c r="C33" i="27" s="1"/>
  <c r="B34" i="27"/>
  <c r="A33" i="27"/>
  <c r="K32" i="27"/>
  <c r="L32" i="27" s="1"/>
  <c r="N31" i="27"/>
  <c r="O31" i="27" s="1"/>
  <c r="M31" i="27"/>
  <c r="K32" i="25"/>
  <c r="L32" i="25" s="1"/>
  <c r="N31" i="25"/>
  <c r="O31" i="25" s="1"/>
  <c r="M31" i="25"/>
  <c r="E33" i="25"/>
  <c r="D33" i="25"/>
  <c r="C33" i="25" s="1" a="1"/>
  <c r="C33" i="25" s="1"/>
  <c r="B34" i="25"/>
  <c r="A33" i="25"/>
  <c r="N29" i="24"/>
  <c r="O29" i="24" s="1"/>
  <c r="M29" i="24"/>
  <c r="P29" i="24" s="1"/>
  <c r="K30" i="24"/>
  <c r="L30" i="24" s="1"/>
  <c r="D31" i="24"/>
  <c r="C31" i="24" s="1" a="1"/>
  <c r="C31" i="24" s="1"/>
  <c r="A31" i="24"/>
  <c r="B32" i="24"/>
  <c r="E31" i="24"/>
  <c r="K31" i="23"/>
  <c r="L31" i="23" s="1"/>
  <c r="A32" i="23"/>
  <c r="B33" i="23"/>
  <c r="E32" i="23"/>
  <c r="G32" i="23" s="1" a="1"/>
  <c r="G32" i="23" s="1"/>
  <c r="D32" i="23"/>
  <c r="C32" i="23" s="1" a="1"/>
  <c r="C32" i="23" s="1"/>
  <c r="N30" i="23"/>
  <c r="O30" i="23" s="1"/>
  <c r="M30" i="23"/>
  <c r="B33" i="21"/>
  <c r="A32" i="21"/>
  <c r="E32" i="21"/>
  <c r="D32" i="21"/>
  <c r="A32" i="20"/>
  <c r="B33" i="20"/>
  <c r="D32" i="20"/>
  <c r="E32" i="20"/>
  <c r="A31" i="19"/>
  <c r="B32" i="19"/>
  <c r="E31" i="19"/>
  <c r="D31" i="19"/>
  <c r="B20" i="2"/>
  <c r="C19" i="2"/>
  <c r="A19" i="2"/>
  <c r="G31" i="24" l="1" a="1"/>
  <c r="G31" i="24" s="1"/>
  <c r="G33" i="25" a="1"/>
  <c r="G33" i="25" s="1"/>
  <c r="G31" i="26" a="1"/>
  <c r="G31" i="26" s="1"/>
  <c r="P29" i="26"/>
  <c r="B33" i="18"/>
  <c r="E32" i="18"/>
  <c r="A32" i="18"/>
  <c r="D32" i="18"/>
  <c r="E33" i="28"/>
  <c r="A33" i="28"/>
  <c r="D33" i="28"/>
  <c r="B34" i="28"/>
  <c r="A32" i="22"/>
  <c r="D32" i="22"/>
  <c r="B33" i="22"/>
  <c r="E32" i="22"/>
  <c r="P30" i="23"/>
  <c r="P31" i="25"/>
  <c r="E32" i="26"/>
  <c r="B33" i="26"/>
  <c r="A32" i="26"/>
  <c r="D32" i="26"/>
  <c r="C32" i="26" s="1" a="1"/>
  <c r="C32" i="26" s="1"/>
  <c r="K31" i="26"/>
  <c r="L31" i="26" s="1"/>
  <c r="M30" i="26"/>
  <c r="N30" i="26"/>
  <c r="O30" i="26" s="1"/>
  <c r="P31" i="27"/>
  <c r="B35" i="27"/>
  <c r="E34" i="27"/>
  <c r="D34" i="27"/>
  <c r="C34" i="27" s="1" a="1"/>
  <c r="C34" i="27" s="1"/>
  <c r="A34" i="27"/>
  <c r="N32" i="27"/>
  <c r="O32" i="27" s="1"/>
  <c r="M32" i="27"/>
  <c r="K33" i="27"/>
  <c r="L33" i="27" s="1"/>
  <c r="B35" i="25"/>
  <c r="E34" i="25"/>
  <c r="D34" i="25"/>
  <c r="C34" i="25" s="1" a="1"/>
  <c r="C34" i="25" s="1"/>
  <c r="A34" i="25"/>
  <c r="K33" i="25"/>
  <c r="L33" i="25" s="1"/>
  <c r="N32" i="25"/>
  <c r="O32" i="25" s="1"/>
  <c r="M32" i="25"/>
  <c r="A32" i="24"/>
  <c r="B33" i="24"/>
  <c r="E32" i="24"/>
  <c r="D32" i="24"/>
  <c r="C32" i="24" s="1" a="1"/>
  <c r="C32" i="24" s="1"/>
  <c r="M30" i="24"/>
  <c r="N30" i="24"/>
  <c r="O30" i="24" s="1"/>
  <c r="K31" i="24"/>
  <c r="L31" i="24" s="1"/>
  <c r="K32" i="23"/>
  <c r="L32" i="23" s="1"/>
  <c r="E33" i="23"/>
  <c r="D33" i="23"/>
  <c r="C33" i="23" s="1" a="1"/>
  <c r="C33" i="23" s="1"/>
  <c r="A33" i="23"/>
  <c r="B34" i="23"/>
  <c r="N31" i="23"/>
  <c r="O31" i="23" s="1"/>
  <c r="M31" i="23"/>
  <c r="E33" i="21"/>
  <c r="D33" i="21"/>
  <c r="B34" i="21"/>
  <c r="A33" i="21"/>
  <c r="E33" i="20"/>
  <c r="D33" i="20"/>
  <c r="A33" i="20"/>
  <c r="B34" i="20"/>
  <c r="A32" i="19"/>
  <c r="B33" i="19"/>
  <c r="D32" i="19"/>
  <c r="E32" i="19"/>
  <c r="E19" i="2" a="1"/>
  <c r="E19" i="2" s="1"/>
  <c r="F19" i="2" s="1" a="1"/>
  <c r="F19" i="2" s="1"/>
  <c r="I19" i="2" s="1"/>
  <c r="J19" i="2" s="1"/>
  <c r="B21" i="2"/>
  <c r="A20" i="2"/>
  <c r="C20" i="2"/>
  <c r="G32" i="26" l="1" a="1"/>
  <c r="G32" i="26" s="1"/>
  <c r="G33" i="23" a="1"/>
  <c r="G33" i="23" s="1"/>
  <c r="G34" i="27" a="1"/>
  <c r="G34" i="27" s="1"/>
  <c r="G32" i="24" a="1"/>
  <c r="G32" i="24" s="1"/>
  <c r="G34" i="25" a="1"/>
  <c r="G34" i="25" s="1"/>
  <c r="P31" i="23"/>
  <c r="B34" i="18"/>
  <c r="A33" i="18"/>
  <c r="D33" i="18"/>
  <c r="E33" i="18"/>
  <c r="B35" i="28"/>
  <c r="E34" i="28"/>
  <c r="D34" i="28"/>
  <c r="A34" i="28"/>
  <c r="B34" i="22"/>
  <c r="D33" i="22"/>
  <c r="A33" i="22"/>
  <c r="E33" i="22"/>
  <c r="P30" i="24"/>
  <c r="P32" i="25"/>
  <c r="P32" i="27"/>
  <c r="P30" i="26"/>
  <c r="N31" i="26"/>
  <c r="O31" i="26" s="1"/>
  <c r="M31" i="26"/>
  <c r="A33" i="26"/>
  <c r="B34" i="26"/>
  <c r="D33" i="26"/>
  <c r="C33" i="26" s="1" a="1"/>
  <c r="C33" i="26" s="1"/>
  <c r="E33" i="26"/>
  <c r="G33" i="26" s="1" a="1"/>
  <c r="G33" i="26" s="1"/>
  <c r="K32" i="26"/>
  <c r="L32" i="26" s="1"/>
  <c r="K34" i="27"/>
  <c r="L34" i="27" s="1"/>
  <c r="N33" i="27"/>
  <c r="O33" i="27" s="1"/>
  <c r="M33" i="27"/>
  <c r="A35" i="27"/>
  <c r="D35" i="27"/>
  <c r="C35" i="27" s="1" a="1"/>
  <c r="C35" i="27" s="1"/>
  <c r="E35" i="27"/>
  <c r="N33" i="25"/>
  <c r="O33" i="25" s="1"/>
  <c r="M33" i="25"/>
  <c r="K34" i="25"/>
  <c r="L34" i="25" s="1"/>
  <c r="A35" i="25"/>
  <c r="B36" i="25"/>
  <c r="E35" i="25"/>
  <c r="D35" i="25"/>
  <c r="C35" i="25" s="1" a="1"/>
  <c r="C35" i="25" s="1"/>
  <c r="K32" i="24"/>
  <c r="L32" i="24" s="1"/>
  <c r="E33" i="24"/>
  <c r="D33" i="24"/>
  <c r="C33" i="24" s="1" a="1"/>
  <c r="C33" i="24" s="1"/>
  <c r="B34" i="24"/>
  <c r="A33" i="24"/>
  <c r="N31" i="24"/>
  <c r="O31" i="24" s="1"/>
  <c r="M31" i="24"/>
  <c r="B35" i="23"/>
  <c r="E34" i="23"/>
  <c r="D34" i="23"/>
  <c r="C34" i="23" s="1" a="1"/>
  <c r="C34" i="23" s="1"/>
  <c r="A34" i="23"/>
  <c r="K33" i="23"/>
  <c r="L33" i="23" s="1"/>
  <c r="N32" i="23"/>
  <c r="O32" i="23" s="1"/>
  <c r="M32" i="23"/>
  <c r="B35" i="21"/>
  <c r="E34" i="21"/>
  <c r="D34" i="21"/>
  <c r="A34" i="21"/>
  <c r="B35" i="20"/>
  <c r="E34" i="20"/>
  <c r="A34" i="20"/>
  <c r="D34" i="20"/>
  <c r="E33" i="19"/>
  <c r="D33" i="19"/>
  <c r="A33" i="19"/>
  <c r="B34" i="19"/>
  <c r="E20" i="2" a="1"/>
  <c r="E20" i="2" s="1"/>
  <c r="F20" i="2" s="1" a="1"/>
  <c r="F20" i="2" s="1"/>
  <c r="I20" i="2" s="1"/>
  <c r="J20" i="2" s="1"/>
  <c r="B22" i="2"/>
  <c r="C21" i="2"/>
  <c r="A21" i="2"/>
  <c r="G33" i="24" l="1" a="1"/>
  <c r="G33" i="24" s="1"/>
  <c r="G34" i="23" a="1"/>
  <c r="G34" i="23" s="1"/>
  <c r="G35" i="27" a="1"/>
  <c r="G35" i="27" s="1"/>
  <c r="G35" i="25" a="1"/>
  <c r="G35" i="25" s="1"/>
  <c r="K35" i="25" s="1"/>
  <c r="L35" i="25" s="1"/>
  <c r="P33" i="25"/>
  <c r="P31" i="24"/>
  <c r="E34" i="18"/>
  <c r="A34" i="18"/>
  <c r="D34" i="18"/>
  <c r="B35" i="18"/>
  <c r="A35" i="28"/>
  <c r="B36" i="28"/>
  <c r="E35" i="28"/>
  <c r="D35" i="28"/>
  <c r="E34" i="22"/>
  <c r="B35" i="22"/>
  <c r="D34" i="22"/>
  <c r="A34" i="22"/>
  <c r="P32" i="23"/>
  <c r="M32" i="26"/>
  <c r="N32" i="26"/>
  <c r="O32" i="26" s="1"/>
  <c r="K33" i="26"/>
  <c r="L33" i="26" s="1"/>
  <c r="E34" i="26"/>
  <c r="G34" i="26" s="1" a="1"/>
  <c r="G34" i="26" s="1"/>
  <c r="D34" i="26"/>
  <c r="C34" i="26" s="1" a="1"/>
  <c r="C34" i="26" s="1"/>
  <c r="A34" i="26"/>
  <c r="B35" i="26"/>
  <c r="P31" i="26"/>
  <c r="P33" i="27"/>
  <c r="M34" i="27"/>
  <c r="N34" i="27"/>
  <c r="O34" i="27" s="1"/>
  <c r="K35" i="27"/>
  <c r="L35" i="27" s="1"/>
  <c r="N34" i="25"/>
  <c r="O34" i="25" s="1"/>
  <c r="M34" i="25"/>
  <c r="A36" i="25"/>
  <c r="E36" i="25"/>
  <c r="D36" i="25"/>
  <c r="C36" i="25" s="1" a="1"/>
  <c r="C36" i="25" s="1"/>
  <c r="B35" i="24"/>
  <c r="E34" i="24"/>
  <c r="D34" i="24"/>
  <c r="C34" i="24" s="1" a="1"/>
  <c r="C34" i="24" s="1"/>
  <c r="A34" i="24"/>
  <c r="K33" i="24"/>
  <c r="L33" i="24" s="1"/>
  <c r="N32" i="24"/>
  <c r="O32" i="24" s="1"/>
  <c r="M32" i="24"/>
  <c r="N33" i="23"/>
  <c r="O33" i="23" s="1"/>
  <c r="M33" i="23"/>
  <c r="K34" i="23"/>
  <c r="L34" i="23" s="1"/>
  <c r="A35" i="23"/>
  <c r="B36" i="23"/>
  <c r="E35" i="23"/>
  <c r="D35" i="23"/>
  <c r="C35" i="23" s="1" a="1"/>
  <c r="C35" i="23" s="1"/>
  <c r="A35" i="21"/>
  <c r="E35" i="21"/>
  <c r="B36" i="21"/>
  <c r="D35" i="21"/>
  <c r="A35" i="20"/>
  <c r="D35" i="20"/>
  <c r="B36" i="20"/>
  <c r="E35" i="20"/>
  <c r="B35" i="19"/>
  <c r="E34" i="19"/>
  <c r="D34" i="19"/>
  <c r="A34" i="19"/>
  <c r="E21" i="2" a="1"/>
  <c r="E21" i="2" s="1"/>
  <c r="F21" i="2" s="1" a="1"/>
  <c r="F21" i="2" s="1"/>
  <c r="I21" i="2" s="1"/>
  <c r="J21" i="2" s="1"/>
  <c r="B23" i="2"/>
  <c r="A22" i="2"/>
  <c r="C22" i="2"/>
  <c r="G35" i="23" l="1" a="1"/>
  <c r="G35" i="23" s="1"/>
  <c r="G34" i="24" a="1"/>
  <c r="G34" i="24" s="1"/>
  <c r="G36" i="25" a="1"/>
  <c r="G36" i="25" s="1"/>
  <c r="A35" i="18"/>
  <c r="B36" i="18"/>
  <c r="E35" i="18"/>
  <c r="D35" i="18"/>
  <c r="A36" i="28"/>
  <c r="E36" i="28"/>
  <c r="D36" i="28"/>
  <c r="E35" i="22"/>
  <c r="D35" i="22"/>
  <c r="A35" i="22"/>
  <c r="B36" i="22"/>
  <c r="P33" i="23"/>
  <c r="P32" i="24"/>
  <c r="P34" i="25"/>
  <c r="E35" i="26"/>
  <c r="B36" i="26"/>
  <c r="A35" i="26"/>
  <c r="D35" i="26"/>
  <c r="C35" i="26" s="1" a="1"/>
  <c r="C35" i="26" s="1"/>
  <c r="K34" i="26"/>
  <c r="L34" i="26" s="1"/>
  <c r="N33" i="26"/>
  <c r="O33" i="26" s="1"/>
  <c r="M33" i="26"/>
  <c r="P32" i="26"/>
  <c r="P34" i="27"/>
  <c r="N35" i="27"/>
  <c r="O35" i="27" s="1"/>
  <c r="M35" i="27"/>
  <c r="K36" i="25"/>
  <c r="L36" i="25" s="1"/>
  <c r="N35" i="25"/>
  <c r="O35" i="25" s="1"/>
  <c r="M35" i="25"/>
  <c r="N33" i="24"/>
  <c r="O33" i="24" s="1"/>
  <c r="M33" i="24"/>
  <c r="K34" i="24"/>
  <c r="L34" i="24" s="1"/>
  <c r="A35" i="24"/>
  <c r="B36" i="24"/>
  <c r="E35" i="24"/>
  <c r="D35" i="24"/>
  <c r="C35" i="24" s="1" a="1"/>
  <c r="C35" i="24" s="1"/>
  <c r="K35" i="23"/>
  <c r="L35" i="23" s="1"/>
  <c r="A36" i="23"/>
  <c r="E36" i="23"/>
  <c r="D36" i="23"/>
  <c r="C36" i="23" s="1" a="1"/>
  <c r="C36" i="23" s="1"/>
  <c r="N34" i="23"/>
  <c r="O34" i="23" s="1"/>
  <c r="M34" i="23"/>
  <c r="B37" i="21"/>
  <c r="A36" i="21"/>
  <c r="E36" i="21"/>
  <c r="D36" i="21"/>
  <c r="A36" i="20"/>
  <c r="D36" i="20"/>
  <c r="E36" i="20"/>
  <c r="A35" i="19"/>
  <c r="B36" i="19"/>
  <c r="E35" i="19"/>
  <c r="D35" i="19"/>
  <c r="E22" i="2" a="1"/>
  <c r="E22" i="2" s="1"/>
  <c r="F22" i="2" s="1" a="1"/>
  <c r="F22" i="2" s="1"/>
  <c r="I22" i="2" s="1"/>
  <c r="J22" i="2" s="1"/>
  <c r="B24" i="2"/>
  <c r="A23" i="2"/>
  <c r="C23" i="2"/>
  <c r="G35" i="24" l="1" a="1"/>
  <c r="G35" i="24" s="1"/>
  <c r="G35" i="26" a="1"/>
  <c r="G35" i="26" s="1"/>
  <c r="G36" i="23" a="1"/>
  <c r="G36" i="23" s="1"/>
  <c r="P34" i="23"/>
  <c r="P33" i="24"/>
  <c r="P33" i="26"/>
  <c r="E36" i="18"/>
  <c r="A36" i="18"/>
  <c r="B37" i="18"/>
  <c r="D36" i="18"/>
  <c r="E36" i="22"/>
  <c r="D36" i="22"/>
  <c r="B37" i="22"/>
  <c r="A36" i="22"/>
  <c r="P35" i="25"/>
  <c r="M34" i="26"/>
  <c r="N34" i="26"/>
  <c r="O34" i="26" s="1"/>
  <c r="B37" i="26"/>
  <c r="A36" i="26"/>
  <c r="E36" i="26"/>
  <c r="D36" i="26"/>
  <c r="C36" i="26" s="1" a="1"/>
  <c r="C36" i="26" s="1"/>
  <c r="K35" i="26"/>
  <c r="L35" i="26" s="1"/>
  <c r="P35" i="27"/>
  <c r="N36" i="25"/>
  <c r="O36" i="25" s="1"/>
  <c r="M36" i="25"/>
  <c r="K35" i="24"/>
  <c r="L35" i="24" s="1"/>
  <c r="E36" i="24"/>
  <c r="A36" i="24"/>
  <c r="B37" i="24"/>
  <c r="D36" i="24"/>
  <c r="C36" i="24" s="1" a="1"/>
  <c r="C36" i="24" s="1"/>
  <c r="N34" i="24"/>
  <c r="O34" i="24" s="1"/>
  <c r="M34" i="24"/>
  <c r="K36" i="23"/>
  <c r="L36" i="23" s="1"/>
  <c r="N35" i="23"/>
  <c r="O35" i="23" s="1"/>
  <c r="M35" i="23"/>
  <c r="E37" i="21"/>
  <c r="D37" i="21"/>
  <c r="A37" i="21"/>
  <c r="A36" i="19"/>
  <c r="B37" i="19"/>
  <c r="E36" i="19"/>
  <c r="D36" i="19"/>
  <c r="E23" i="2" a="1"/>
  <c r="E23" i="2" s="1"/>
  <c r="F23" i="2" s="1" a="1"/>
  <c r="F23" i="2" s="1"/>
  <c r="I23" i="2" s="1"/>
  <c r="J23" i="2" s="1"/>
  <c r="B25" i="2"/>
  <c r="A24" i="2"/>
  <c r="G36" i="26" l="1" a="1"/>
  <c r="G36" i="26" s="1"/>
  <c r="G36" i="24" a="1"/>
  <c r="G36" i="24" s="1"/>
  <c r="P34" i="24"/>
  <c r="D37" i="18"/>
  <c r="E37" i="18"/>
  <c r="A37" i="18"/>
  <c r="A37" i="22"/>
  <c r="E37" i="22"/>
  <c r="D37" i="22"/>
  <c r="P35" i="23"/>
  <c r="P36" i="25"/>
  <c r="B2" i="25" s="1"/>
  <c r="E37" i="26"/>
  <c r="A37" i="26"/>
  <c r="D37" i="26"/>
  <c r="C37" i="26" s="1" a="1"/>
  <c r="C37" i="26" s="1"/>
  <c r="M35" i="26"/>
  <c r="N35" i="26"/>
  <c r="O35" i="26" s="1"/>
  <c r="K36" i="26"/>
  <c r="L36" i="26" s="1"/>
  <c r="P34" i="26"/>
  <c r="B2" i="27"/>
  <c r="E37" i="24"/>
  <c r="D37" i="24"/>
  <c r="C37" i="24" s="1" a="1"/>
  <c r="C37" i="24" s="1"/>
  <c r="A37" i="24"/>
  <c r="N35" i="24"/>
  <c r="O35" i="24" s="1"/>
  <c r="M35" i="24"/>
  <c r="K36" i="24"/>
  <c r="L36" i="24" s="1"/>
  <c r="N36" i="23"/>
  <c r="O36" i="23" s="1"/>
  <c r="M36" i="23"/>
  <c r="E37" i="19"/>
  <c r="D37" i="19"/>
  <c r="A37" i="19"/>
  <c r="B26" i="2"/>
  <c r="A25" i="2"/>
  <c r="G37" i="26" l="1" a="1"/>
  <c r="G37" i="26" s="1"/>
  <c r="G37" i="24" a="1"/>
  <c r="G37" i="24" s="1"/>
  <c r="P35" i="24"/>
  <c r="P35" i="26"/>
  <c r="P36" i="23"/>
  <c r="B2" i="23" s="1"/>
  <c r="M36" i="26"/>
  <c r="N36" i="26"/>
  <c r="O36" i="26" s="1"/>
  <c r="K37" i="26"/>
  <c r="L37" i="26" s="1"/>
  <c r="N36" i="24"/>
  <c r="O36" i="24" s="1"/>
  <c r="M36" i="24"/>
  <c r="K37" i="24"/>
  <c r="L37" i="24" s="1"/>
  <c r="B27" i="2"/>
  <c r="C26" i="2"/>
  <c r="A26" i="2"/>
  <c r="P36" i="24" l="1"/>
  <c r="N37" i="26"/>
  <c r="O37" i="26" s="1"/>
  <c r="M37" i="26"/>
  <c r="P37" i="26" s="1"/>
  <c r="B2" i="26" s="1"/>
  <c r="P36" i="26"/>
  <c r="N37" i="24"/>
  <c r="O37" i="24" s="1"/>
  <c r="M37" i="24"/>
  <c r="S11" i="1"/>
  <c r="E26" i="2" a="1"/>
  <c r="E26" i="2" s="1"/>
  <c r="F26" i="2" s="1" a="1"/>
  <c r="F26" i="2" s="1"/>
  <c r="I26" i="2" s="1"/>
  <c r="J26" i="2" s="1"/>
  <c r="B28" i="2"/>
  <c r="A27" i="2"/>
  <c r="C27" i="2"/>
  <c r="V11" i="1" l="1"/>
  <c r="U11" i="1"/>
  <c r="P37" i="24"/>
  <c r="B2" i="24" s="1"/>
  <c r="R11" i="1" s="1"/>
  <c r="P11" i="1"/>
  <c r="O11" i="1"/>
  <c r="Q11" i="1"/>
  <c r="X11" i="1"/>
  <c r="E27" i="2" a="1"/>
  <c r="E27" i="2" s="1"/>
  <c r="F27" i="2" s="1" a="1"/>
  <c r="F27" i="2" s="1"/>
  <c r="I27" i="2" s="1"/>
  <c r="J27" i="2" s="1"/>
  <c r="B29" i="2"/>
  <c r="A28" i="2"/>
  <c r="C28" i="2"/>
  <c r="Y11" i="1" l="1"/>
  <c r="W11" i="1"/>
  <c r="B9" i="1"/>
  <c r="C20" i="1"/>
  <c r="D20" i="1" s="1"/>
  <c r="T11" i="1"/>
  <c r="E28" i="2" a="1"/>
  <c r="E28" i="2" s="1"/>
  <c r="F28" i="2" s="1" a="1"/>
  <c r="F28" i="2" s="1"/>
  <c r="I28" i="2" s="1"/>
  <c r="J28" i="2" s="1"/>
  <c r="B30" i="2"/>
  <c r="C29" i="2"/>
  <c r="A29" i="2"/>
  <c r="C9" i="1" l="1"/>
  <c r="E29" i="2" a="1"/>
  <c r="E29" i="2" s="1"/>
  <c r="F29" i="2" s="1" a="1"/>
  <c r="F29" i="2" s="1"/>
  <c r="I29" i="2" s="1"/>
  <c r="J29" i="2" s="1"/>
  <c r="B31" i="2"/>
  <c r="C30" i="2"/>
  <c r="A30" i="2"/>
  <c r="E30" i="2" l="1" a="1"/>
  <c r="E30" i="2" s="1"/>
  <c r="F30" i="2" s="1" a="1"/>
  <c r="F30" i="2" s="1"/>
  <c r="I30" i="2" s="1"/>
  <c r="J30" i="2" s="1"/>
  <c r="B32" i="2"/>
  <c r="A31" i="2"/>
  <c r="B33" i="2" l="1"/>
  <c r="A32" i="2"/>
  <c r="B34" i="2" l="1"/>
  <c r="A33" i="2"/>
  <c r="C33" i="2"/>
  <c r="E33" i="2" l="1" a="1"/>
  <c r="E33" i="2" s="1"/>
  <c r="F33" i="2" s="1" a="1"/>
  <c r="F33" i="2" s="1"/>
  <c r="I33" i="2" s="1"/>
  <c r="J33" i="2" s="1"/>
  <c r="B35" i="2"/>
  <c r="A34" i="2"/>
  <c r="C34" i="2"/>
  <c r="E34" i="2" l="1" a="1"/>
  <c r="E34" i="2" s="1"/>
  <c r="F34" i="2" s="1" a="1"/>
  <c r="F34" i="2" s="1"/>
  <c r="I34" i="2" s="1"/>
  <c r="J34" i="2" s="1"/>
  <c r="C35" i="2"/>
  <c r="A35" i="2"/>
  <c r="E35" i="2" l="1" a="1"/>
  <c r="E35" i="2" s="1"/>
  <c r="F35" i="2" s="1" a="1"/>
  <c r="F35" i="2" s="1"/>
  <c r="I35" i="2" l="1"/>
  <c r="J35" i="2" s="1"/>
  <c r="R13" i="2" s="1"/>
  <c r="R14" i="2" s="1"/>
  <c r="B8" i="17" l="1"/>
  <c r="E8" i="17" s="1"/>
  <c r="D8" i="17" l="1"/>
  <c r="C8" i="17" s="1" a="1"/>
  <c r="C8" i="17" s="1"/>
  <c r="A8" i="17"/>
  <c r="B9" i="17"/>
  <c r="E9" i="17" s="1"/>
  <c r="G8" i="17" l="1" a="1"/>
  <c r="G8" i="17" s="1"/>
  <c r="K8" i="17" s="1"/>
  <c r="L8" i="17" s="1"/>
  <c r="D9" i="17"/>
  <c r="A9" i="17"/>
  <c r="B10" i="17"/>
  <c r="E10" i="17" s="1"/>
  <c r="N8" i="17" l="1"/>
  <c r="O8" i="17" s="1"/>
  <c r="M8" i="17"/>
  <c r="C9" i="17" a="1"/>
  <c r="C9" i="17" s="1"/>
  <c r="D10" i="17"/>
  <c r="C10" i="17" s="1" a="1"/>
  <c r="C10" i="17" s="1"/>
  <c r="B11" i="17"/>
  <c r="E11" i="17" s="1"/>
  <c r="A10" i="17"/>
  <c r="G9" i="17" l="1" a="1"/>
  <c r="G9" i="17" s="1"/>
  <c r="K9" i="17" s="1"/>
  <c r="L9" i="17" s="1"/>
  <c r="G10" i="17" a="1"/>
  <c r="G10" i="17" s="1"/>
  <c r="K10" i="17" s="1"/>
  <c r="L10" i="17" s="1"/>
  <c r="P8" i="17"/>
  <c r="D11" i="17"/>
  <c r="B12" i="17"/>
  <c r="E12" i="17" s="1"/>
  <c r="A11" i="17"/>
  <c r="M9" i="17" l="1"/>
  <c r="N9" i="17"/>
  <c r="O9" i="17" s="1"/>
  <c r="M10" i="17"/>
  <c r="N10" i="17"/>
  <c r="O10" i="17" s="1"/>
  <c r="C11" i="17" a="1"/>
  <c r="C11" i="17" s="1"/>
  <c r="D12" i="17"/>
  <c r="C12" i="17" s="1" a="1"/>
  <c r="C12" i="17" s="1"/>
  <c r="B13" i="17"/>
  <c r="E13" i="17" s="1"/>
  <c r="A12" i="17"/>
  <c r="G11" i="17" l="1" a="1"/>
  <c r="G11" i="17" s="1"/>
  <c r="K11" i="17" s="1"/>
  <c r="L11" i="17" s="1"/>
  <c r="G12" i="17" a="1"/>
  <c r="G12" i="17" s="1"/>
  <c r="K12" i="17" s="1"/>
  <c r="L12" i="17" s="1"/>
  <c r="P10" i="17"/>
  <c r="P9" i="17"/>
  <c r="D13" i="17"/>
  <c r="C13" i="17" s="1" a="1"/>
  <c r="C13" i="17" s="1"/>
  <c r="G13" i="17" s="1" a="1"/>
  <c r="G13" i="17" s="1"/>
  <c r="B14" i="17"/>
  <c r="E14" i="17" s="1"/>
  <c r="A13" i="17"/>
  <c r="K13" i="17" l="1"/>
  <c r="L13" i="17" s="1"/>
  <c r="M11" i="17"/>
  <c r="N11" i="17"/>
  <c r="O11" i="17" s="1"/>
  <c r="M12" i="17"/>
  <c r="N12" i="17"/>
  <c r="O12" i="17" s="1"/>
  <c r="D14" i="17"/>
  <c r="B15" i="17"/>
  <c r="E15" i="17" s="1"/>
  <c r="A14" i="17"/>
  <c r="P12" i="17" l="1"/>
  <c r="P11" i="17"/>
  <c r="M13" i="17"/>
  <c r="N13" i="17"/>
  <c r="O13" i="17" s="1"/>
  <c r="C14" i="17" a="1"/>
  <c r="C14" i="17" s="1"/>
  <c r="D15" i="17"/>
  <c r="B16" i="17"/>
  <c r="E16" i="17" s="1"/>
  <c r="A15" i="17"/>
  <c r="G14" i="17" l="1" a="1"/>
  <c r="G14" i="17" s="1"/>
  <c r="K14" i="17" s="1"/>
  <c r="L14" i="17" s="1"/>
  <c r="P13" i="17"/>
  <c r="C15" i="17" a="1"/>
  <c r="C15" i="17" s="1"/>
  <c r="D16" i="17"/>
  <c r="B17" i="17"/>
  <c r="E17" i="17" s="1"/>
  <c r="A16" i="17"/>
  <c r="G15" i="17" l="1" a="1"/>
  <c r="G15" i="17" s="1"/>
  <c r="K15" i="17" s="1"/>
  <c r="L15" i="17" s="1"/>
  <c r="M14" i="17"/>
  <c r="N14" i="17"/>
  <c r="O14" i="17" s="1"/>
  <c r="C16" i="17" a="1"/>
  <c r="C16" i="17" s="1"/>
  <c r="D17" i="17"/>
  <c r="B18" i="17"/>
  <c r="E18" i="17" s="1"/>
  <c r="A17" i="17"/>
  <c r="G16" i="17" l="1" a="1"/>
  <c r="G16" i="17" s="1"/>
  <c r="K16" i="17" s="1"/>
  <c r="L16" i="17" s="1"/>
  <c r="P14" i="17"/>
  <c r="M15" i="17"/>
  <c r="N15" i="17"/>
  <c r="O15" i="17" s="1"/>
  <c r="C17" i="17" a="1"/>
  <c r="C17" i="17" s="1"/>
  <c r="D18" i="17"/>
  <c r="B19" i="17"/>
  <c r="E19" i="17" s="1"/>
  <c r="A18" i="17"/>
  <c r="G17" i="17" l="1" a="1"/>
  <c r="G17" i="17" s="1"/>
  <c r="K17" i="17" s="1"/>
  <c r="L17" i="17" s="1"/>
  <c r="P15" i="17"/>
  <c r="M16" i="17"/>
  <c r="N16" i="17"/>
  <c r="O16" i="17" s="1"/>
  <c r="C18" i="17" a="1"/>
  <c r="C18" i="17" s="1"/>
  <c r="D19" i="17"/>
  <c r="C19" i="17" s="1" a="1"/>
  <c r="C19" i="17" s="1"/>
  <c r="G19" i="17" s="1" a="1"/>
  <c r="G19" i="17" s="1"/>
  <c r="B20" i="17"/>
  <c r="E20" i="17" s="1"/>
  <c r="A19" i="17"/>
  <c r="G18" i="17" l="1" a="1"/>
  <c r="G18" i="17" s="1"/>
  <c r="K18" i="17" s="1"/>
  <c r="L18" i="17" s="1"/>
  <c r="K19" i="17"/>
  <c r="L19" i="17" s="1"/>
  <c r="P16" i="17"/>
  <c r="N17" i="17"/>
  <c r="O17" i="17" s="1"/>
  <c r="M17" i="17"/>
  <c r="D20" i="17"/>
  <c r="C20" i="17" s="1" a="1"/>
  <c r="C20" i="17" s="1"/>
  <c r="B21" i="17"/>
  <c r="E21" i="17" s="1"/>
  <c r="A20" i="17"/>
  <c r="G20" i="17" l="1" a="1"/>
  <c r="G20" i="17" s="1"/>
  <c r="K20" i="17" s="1"/>
  <c r="L20" i="17" s="1"/>
  <c r="P17" i="17"/>
  <c r="M19" i="17"/>
  <c r="N19" i="17"/>
  <c r="O19" i="17" s="1"/>
  <c r="M18" i="17"/>
  <c r="N18" i="17"/>
  <c r="O18" i="17" s="1"/>
  <c r="D21" i="17"/>
  <c r="B22" i="17"/>
  <c r="E22" i="17" s="1"/>
  <c r="A21" i="17"/>
  <c r="P19" i="17" l="1"/>
  <c r="P18" i="17"/>
  <c r="N20" i="17"/>
  <c r="O20" i="17" s="1"/>
  <c r="M20" i="17"/>
  <c r="C21" i="17" a="1"/>
  <c r="C21" i="17" s="1"/>
  <c r="V15" i="17"/>
  <c r="V16" i="17" s="1"/>
  <c r="D22" i="17"/>
  <c r="C22" i="17" s="1" a="1"/>
  <c r="C22" i="17" s="1"/>
  <c r="B23" i="17"/>
  <c r="E23" i="17" s="1"/>
  <c r="A22" i="17"/>
  <c r="G21" i="17" l="1" a="1"/>
  <c r="G21" i="17" s="1"/>
  <c r="K21" i="17" s="1"/>
  <c r="L21" i="17" s="1"/>
  <c r="G22" i="17" a="1"/>
  <c r="G22" i="17" s="1"/>
  <c r="K22" i="17" s="1"/>
  <c r="L22" i="17" s="1"/>
  <c r="P20" i="17"/>
  <c r="D23" i="17"/>
  <c r="C23" i="17" s="1" a="1"/>
  <c r="C23" i="17" s="1"/>
  <c r="G23" i="17" s="1" a="1"/>
  <c r="G23" i="17" s="1"/>
  <c r="B24" i="17"/>
  <c r="E24" i="17" s="1"/>
  <c r="A23" i="17"/>
  <c r="K23" i="17" l="1"/>
  <c r="L23" i="17" s="1"/>
  <c r="N21" i="17"/>
  <c r="O21" i="17" s="1"/>
  <c r="M21" i="17"/>
  <c r="M22" i="17"/>
  <c r="N22" i="17"/>
  <c r="O22" i="17" s="1"/>
  <c r="D24" i="17"/>
  <c r="C24" i="17" s="1" a="1"/>
  <c r="C24" i="17" s="1"/>
  <c r="B25" i="17"/>
  <c r="E25" i="17" s="1"/>
  <c r="A24" i="17"/>
  <c r="G24" i="17" l="1" a="1"/>
  <c r="G24" i="17" s="1"/>
  <c r="K24" i="17" s="1"/>
  <c r="L24" i="17" s="1"/>
  <c r="P22" i="17"/>
  <c r="P21" i="17"/>
  <c r="M23" i="17"/>
  <c r="N23" i="17"/>
  <c r="O23" i="17" s="1"/>
  <c r="D25" i="17"/>
  <c r="C25" i="17" s="1" a="1"/>
  <c r="C25" i="17" s="1"/>
  <c r="G25" i="17" s="1" a="1"/>
  <c r="G25" i="17" s="1"/>
  <c r="B26" i="17"/>
  <c r="E26" i="17" s="1"/>
  <c r="A25" i="17"/>
  <c r="K25" i="17" l="1"/>
  <c r="L25" i="17" s="1"/>
  <c r="P23" i="17"/>
  <c r="N24" i="17"/>
  <c r="O24" i="17" s="1"/>
  <c r="M24" i="17"/>
  <c r="D26" i="17"/>
  <c r="C26" i="17" s="1" a="1"/>
  <c r="C26" i="17" s="1"/>
  <c r="B27" i="17"/>
  <c r="E27" i="17" s="1"/>
  <c r="A26" i="17"/>
  <c r="G26" i="17" l="1" a="1"/>
  <c r="G26" i="17" s="1"/>
  <c r="K26" i="17" s="1"/>
  <c r="L26" i="17" s="1"/>
  <c r="P24" i="17"/>
  <c r="M25" i="17"/>
  <c r="N25" i="17"/>
  <c r="O25" i="17" s="1"/>
  <c r="D27" i="17"/>
  <c r="C27" i="17" s="1" a="1"/>
  <c r="C27" i="17" s="1"/>
  <c r="B28" i="17"/>
  <c r="E28" i="17" s="1"/>
  <c r="A27" i="17"/>
  <c r="G27" i="17" l="1" a="1"/>
  <c r="G27" i="17" s="1"/>
  <c r="K27" i="17" s="1"/>
  <c r="L27" i="17" s="1"/>
  <c r="P25" i="17"/>
  <c r="M26" i="17"/>
  <c r="N26" i="17"/>
  <c r="O26" i="17" s="1"/>
  <c r="D28" i="17"/>
  <c r="C28" i="17" s="1" a="1"/>
  <c r="C28" i="17" s="1"/>
  <c r="B29" i="17"/>
  <c r="E29" i="17" s="1"/>
  <c r="A28" i="17"/>
  <c r="G28" i="17" l="1" a="1"/>
  <c r="G28" i="17" s="1"/>
  <c r="K28" i="17" s="1"/>
  <c r="L28" i="17" s="1"/>
  <c r="P26" i="17"/>
  <c r="N27" i="17"/>
  <c r="O27" i="17" s="1"/>
  <c r="M27" i="17"/>
  <c r="D29" i="17"/>
  <c r="C29" i="17" s="1" a="1"/>
  <c r="C29" i="17" s="1"/>
  <c r="B30" i="17"/>
  <c r="E30" i="17" s="1"/>
  <c r="A29" i="17"/>
  <c r="G29" i="17" l="1" a="1"/>
  <c r="G29" i="17" s="1"/>
  <c r="K29" i="17" s="1"/>
  <c r="L29" i="17" s="1"/>
  <c r="P27" i="17"/>
  <c r="M28" i="17"/>
  <c r="N28" i="17"/>
  <c r="O28" i="17" s="1"/>
  <c r="D30" i="17"/>
  <c r="C30" i="17" s="1" a="1"/>
  <c r="C30" i="17" s="1"/>
  <c r="B31" i="17"/>
  <c r="E31" i="17" s="1"/>
  <c r="A30" i="17"/>
  <c r="G30" i="17" l="1" a="1"/>
  <c r="G30" i="17" s="1"/>
  <c r="K30" i="17" s="1"/>
  <c r="L30" i="17" s="1"/>
  <c r="P28" i="17"/>
  <c r="M29" i="17"/>
  <c r="N29" i="17"/>
  <c r="O29" i="17" s="1"/>
  <c r="D31" i="17"/>
  <c r="C31" i="17" s="1" a="1"/>
  <c r="C31" i="17" s="1"/>
  <c r="G31" i="17" s="1" a="1"/>
  <c r="G31" i="17" s="1"/>
  <c r="B32" i="17"/>
  <c r="E32" i="17" s="1"/>
  <c r="A31" i="17"/>
  <c r="K31" i="17" l="1"/>
  <c r="L31" i="17" s="1"/>
  <c r="P29" i="17"/>
  <c r="N30" i="17"/>
  <c r="O30" i="17" s="1"/>
  <c r="M30" i="17"/>
  <c r="D32" i="17"/>
  <c r="C32" i="17" s="1" a="1"/>
  <c r="C32" i="17" s="1"/>
  <c r="B33" i="17"/>
  <c r="E33" i="17" s="1"/>
  <c r="A32" i="17"/>
  <c r="G32" i="17" l="1" a="1"/>
  <c r="G32" i="17" s="1"/>
  <c r="K32" i="17" s="1"/>
  <c r="L32" i="17" s="1"/>
  <c r="P30" i="17"/>
  <c r="M31" i="17"/>
  <c r="N31" i="17"/>
  <c r="O31" i="17" s="1"/>
  <c r="D33" i="17"/>
  <c r="C33" i="17" s="1" a="1"/>
  <c r="C33" i="17" s="1"/>
  <c r="B34" i="17"/>
  <c r="E34" i="17" s="1"/>
  <c r="A33" i="17"/>
  <c r="G33" i="17" l="1" a="1"/>
  <c r="G33" i="17" s="1"/>
  <c r="K33" i="17" s="1"/>
  <c r="L33" i="17" s="1"/>
  <c r="P31" i="17"/>
  <c r="M32" i="17"/>
  <c r="N32" i="17"/>
  <c r="O32" i="17" s="1"/>
  <c r="D34" i="17"/>
  <c r="C34" i="17" s="1" a="1"/>
  <c r="C34" i="17" s="1"/>
  <c r="B35" i="17"/>
  <c r="E35" i="17" s="1"/>
  <c r="A34" i="17"/>
  <c r="G34" i="17" l="1" a="1"/>
  <c r="G34" i="17" s="1"/>
  <c r="K34" i="17" s="1"/>
  <c r="L34" i="17" s="1"/>
  <c r="P32" i="17"/>
  <c r="M33" i="17"/>
  <c r="N33" i="17"/>
  <c r="O33" i="17" s="1"/>
  <c r="D35" i="17"/>
  <c r="C35" i="17" s="1" a="1"/>
  <c r="C35" i="17" s="1"/>
  <c r="B36" i="17"/>
  <c r="E36" i="17" s="1"/>
  <c r="A35" i="17"/>
  <c r="G35" i="17" l="1" a="1"/>
  <c r="G35" i="17" s="1"/>
  <c r="K35" i="17" s="1"/>
  <c r="L35" i="17" s="1"/>
  <c r="P33" i="17"/>
  <c r="M34" i="17"/>
  <c r="N34" i="17"/>
  <c r="O34" i="17" s="1"/>
  <c r="B37" i="17"/>
  <c r="E37" i="17" s="1"/>
  <c r="D36" i="17"/>
  <c r="C36" i="17" s="1" a="1"/>
  <c r="C36" i="17" s="1"/>
  <c r="G36" i="17" s="1" a="1"/>
  <c r="G36" i="17" s="1"/>
  <c r="A36" i="17"/>
  <c r="K36" i="17" l="1"/>
  <c r="L36" i="17" s="1"/>
  <c r="P34" i="17"/>
  <c r="M35" i="17"/>
  <c r="N35" i="17"/>
  <c r="O35" i="17" s="1"/>
  <c r="A37" i="17"/>
  <c r="D37" i="17"/>
  <c r="C37" i="17" s="1" a="1"/>
  <c r="C37" i="17" s="1"/>
  <c r="G37" i="17" l="1" a="1"/>
  <c r="G37" i="17" s="1"/>
  <c r="K37" i="17" s="1"/>
  <c r="L37" i="17" s="1"/>
  <c r="P35" i="17"/>
  <c r="N36" i="17"/>
  <c r="O36" i="17" s="1"/>
  <c r="M36" i="17"/>
  <c r="P36" i="17" l="1"/>
  <c r="N37" i="17"/>
  <c r="O37" i="17" s="1"/>
  <c r="M37" i="17"/>
  <c r="P37" i="17" l="1"/>
  <c r="B2" i="17" l="1"/>
  <c r="M11" i="1" l="1"/>
  <c r="N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<sst xmlns="http://schemas.openxmlformats.org/spreadsheetml/2006/main" count="982" uniqueCount="98">
  <si>
    <t>År</t>
  </si>
  <si>
    <t>Navn</t>
  </si>
  <si>
    <t>AU-ID</t>
  </si>
  <si>
    <t>Overført fra tidligere perioder</t>
  </si>
  <si>
    <t>Forskel</t>
  </si>
  <si>
    <t>Januar</t>
  </si>
  <si>
    <t>Februar</t>
  </si>
  <si>
    <t>Marts</t>
  </si>
  <si>
    <t>April</t>
  </si>
  <si>
    <t>Maj</t>
  </si>
  <si>
    <t>Juni</t>
  </si>
  <si>
    <t>Juli</t>
  </si>
  <si>
    <t>August</t>
  </si>
  <si>
    <t>September</t>
  </si>
  <si>
    <t>Oktober</t>
  </si>
  <si>
    <t>November</t>
  </si>
  <si>
    <t>December</t>
  </si>
  <si>
    <t>Måned</t>
  </si>
  <si>
    <t>Timenorm</t>
  </si>
  <si>
    <t>Kode</t>
  </si>
  <si>
    <t>Beskrivelse</t>
  </si>
  <si>
    <t>N</t>
  </si>
  <si>
    <t xml:space="preserve">Normal arbejdsdag. Du behøver kun at registrere tid de dage, hvor din faktiske arbejdstid afviger fra din sædvanlige arbejdstid i op- eller nedadgående retning. </t>
  </si>
  <si>
    <t>R</t>
  </si>
  <si>
    <t xml:space="preserve">Ønsker du at registrere din samlede daglige arbejdstid, kan du skrive det i kolonnen "Faktisk arbejdstid". Ønsker du at registrere din arbejdstid som start- og sluttidspunkt vælges koden "R" og tidspunkter skrives ind i ”Start” og ”Slut”.
</t>
  </si>
  <si>
    <t>Tal-format</t>
  </si>
  <si>
    <t>Alle tal skal skrives som timer:minutter</t>
  </si>
  <si>
    <t>Uge</t>
  </si>
  <si>
    <t>Dato</t>
  </si>
  <si>
    <t>Dag</t>
  </si>
  <si>
    <t>dag-formel</t>
  </si>
  <si>
    <t>dag-dato</t>
  </si>
  <si>
    <t>Norm-tid</t>
  </si>
  <si>
    <t>Faktisk-arbejdstid</t>
  </si>
  <si>
    <t>Start</t>
  </si>
  <si>
    <t>Slut</t>
  </si>
  <si>
    <t>Forskel-tid</t>
  </si>
  <si>
    <t>Hvis minus</t>
  </si>
  <si>
    <t>Timer</t>
  </si>
  <si>
    <t>Minutter</t>
  </si>
  <si>
    <t>Bemærkning</t>
  </si>
  <si>
    <t>Arbejdsdage</t>
  </si>
  <si>
    <t>Daglige timer</t>
  </si>
  <si>
    <t>Timer/minutter</t>
  </si>
  <si>
    <t>Timenorm udfra ugentligt time antal</t>
  </si>
  <si>
    <t>Antal timer måned</t>
  </si>
  <si>
    <t>TM</t>
  </si>
  <si>
    <t xml:space="preserve">Timenorm måned - fravær </t>
  </si>
  <si>
    <t>Antal registerede arbejdstimer i måneden</t>
  </si>
  <si>
    <t>F</t>
  </si>
  <si>
    <t>Forskel mellem N og TM</t>
  </si>
  <si>
    <t>Delta difference  i tal</t>
  </si>
  <si>
    <t>Forskel mellem TM og F</t>
  </si>
  <si>
    <t>Registrede timer +/-</t>
  </si>
  <si>
    <t>std tid ved F</t>
  </si>
  <si>
    <t>Norm</t>
  </si>
  <si>
    <t>Standard</t>
  </si>
  <si>
    <t>Hvis ekstra</t>
  </si>
  <si>
    <t>Normal arbejdsdag du behøver ikke gøre noget</t>
  </si>
  <si>
    <t>Fravær i den ene eller anden form</t>
  </si>
  <si>
    <t>Æ</t>
  </si>
  <si>
    <t>Registrering af start-slut tidspunkt</t>
  </si>
  <si>
    <t>Antal fraværs-dage</t>
  </si>
  <si>
    <t>minus start-slut ved default</t>
  </si>
  <si>
    <t>lø</t>
  </si>
  <si>
    <t>Fravær i timer/minutter</t>
  </si>
  <si>
    <t>sø</t>
  </si>
  <si>
    <t>Formelen skal trække fra og ligge til ordenlgit</t>
  </si>
  <si>
    <t>Total</t>
  </si>
  <si>
    <t>-</t>
  </si>
  <si>
    <t>Start date (only fill out if you are a new hire)</t>
  </si>
  <si>
    <t>End date (only fill out if your last day of work will take place this year)</t>
  </si>
  <si>
    <t>Year</t>
  </si>
  <si>
    <t>Enter your first and last name</t>
  </si>
  <si>
    <t>Enter your AU ID</t>
  </si>
  <si>
    <t>Any balance carried forward from previous periods</t>
  </si>
  <si>
    <t>Total difference</t>
  </si>
  <si>
    <t>Standard work hours</t>
  </si>
  <si>
    <t>Difference</t>
  </si>
  <si>
    <t>Difference-time</t>
  </si>
  <si>
    <t>Master data</t>
  </si>
  <si>
    <t>Month</t>
  </si>
  <si>
    <t>July</t>
  </si>
  <si>
    <t>October</t>
  </si>
  <si>
    <t>Code</t>
  </si>
  <si>
    <t>Description</t>
  </si>
  <si>
    <r>
      <t xml:space="preserve">Normal working day You only need to register your working time on days when you work </t>
    </r>
    <r>
      <rPr>
        <b/>
        <sz val="11"/>
        <rFont val="Aptos Narrow"/>
        <family val="2"/>
      </rPr>
      <t>more or less</t>
    </r>
    <r>
      <rPr>
        <sz val="11"/>
        <color theme="1"/>
        <rFont val="Aptos Narrow"/>
        <family val="2"/>
        <scheme val="minor"/>
      </rPr>
      <t xml:space="preserve"> than your normal standard daily working hours. </t>
    </r>
  </si>
  <si>
    <t>Number format</t>
  </si>
  <si>
    <t>All numbers must be written in the hours: minutes format</t>
  </si>
  <si>
    <t>Week</t>
  </si>
  <si>
    <t>Date</t>
  </si>
  <si>
    <t>Day</t>
  </si>
  <si>
    <t>Actual hours worked</t>
  </si>
  <si>
    <t>End</t>
  </si>
  <si>
    <t>Difference - time</t>
  </si>
  <si>
    <t>Remarks</t>
  </si>
  <si>
    <r>
      <t xml:space="preserve">Normal working day. You only need to register your working time on days when you work </t>
    </r>
    <r>
      <rPr>
        <b/>
        <sz val="11"/>
        <rFont val="Aptos Narrow"/>
        <family val="2"/>
      </rPr>
      <t>more or less</t>
    </r>
    <r>
      <rPr>
        <sz val="11"/>
        <color theme="1"/>
        <rFont val="Aptos Narrow"/>
        <family val="2"/>
        <scheme val="minor"/>
      </rPr>
      <t xml:space="preserve"> than your normal standard daily working hours. </t>
    </r>
  </si>
  <si>
    <t>Once you select ‘R’, you can either enter both arrival and departure times (start -end) or enter your total working time for the day in the column ‘actual working time’. You can’t select both formats at the same time, because ‘actual working time’ overwrites start and end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</si>
</sst>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d"/>
    <numFmt numFmtId="165" formatCode="dd"/>
    <numFmt numFmtId="166" formatCode="hh:mm;@"/>
    <numFmt numFmtId="167" formatCode="yyyy"/>
    <numFmt numFmtId="168" formatCode="mmmm"/>
    <numFmt numFmtId="169" formatCode="0.0000"/>
    <numFmt numFmtId="170" formatCode="0.0"/>
    <numFmt numFmtId="171" formatCode="[h]:mm;ss"/>
    <numFmt numFmtId="172" formatCode="[h]:mm;@"/>
  </numFmts>
  <fonts count="9" x14ac:knownFonts="1">
    <font>
      <sz val="11"/>
      <color theme="1"/>
      <name val="Aptos Narrow"/>
      <family val="2"/>
      <scheme val="minor"/>
    </font>
    <font>
      <sz val="8"/>
      <name val="Aptos Narrow"/>
      <family val="2"/>
      <scheme val="minor"/>
    </font>
    <font>
      <sz val="11"/>
      <color theme="1"/>
      <name val="AU Passata"/>
      <family val="2"/>
    </font>
    <font>
      <sz val="10"/>
      <name val="AU Passata"/>
      <family val="2"/>
    </font>
    <font>
      <sz val="11"/>
      <name val="AU Passata"/>
      <family val="2"/>
    </font>
    <font>
      <b/>
      <sz val="11"/>
      <color theme="1"/>
      <name val="AU Passata"/>
      <family val="2"/>
    </font>
    <font>
      <b/>
      <sz val="11"/>
      <name val="AU Passata"/>
      <family val="2"/>
    </font>
    <font>
      <sz val="11"/>
      <color rgb="FF000000"/>
      <name val="AU Passata"/>
      <family val="2"/>
    </font>
    <font>
      <b/>
      <sz val="11"/>
      <name val="Aptos Narrow"/>
      <family val="2"/>
    </font>
  </fonts>
  <fills count="7">
    <fill>
      <patternFill patternType="none"/>
    </fill>
    <fill>
      <patternFill patternType="gray125"/>
    </fill>
    <fill>
      <patternFill patternType="solid">
        <fgColor theme="8" tint="0.59999389629810485"/>
        <bgColor indexed="64"/>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s>
  <borders count="23">
    <border>
      <left/>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23">
    <xf numFmtId="0" fontId="0" fillId="0" borderId="0" xfId="0"/>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2" fontId="0" fillId="0" borderId="0" xfId="0" applyNumberFormat="1"/>
    <xf numFmtId="169" fontId="0" fillId="0" borderId="0" xfId="0" applyNumberFormat="1"/>
    <xf numFmtId="20" fontId="0" fillId="0" borderId="0" xfId="0" applyNumberForma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xf numFmtId="165" fontId="2" fillId="0" borderId="4" xfId="0" applyNumberFormat="1" applyFont="1" applyBorder="1"/>
    <xf numFmtId="164" fontId="2" fillId="0" borderId="4" xfId="0" applyNumberFormat="1" applyFont="1" applyBorder="1" applyAlignment="1">
      <alignment horizontal="right"/>
    </xf>
    <xf numFmtId="0" fontId="3" fillId="0" borderId="4" xfId="0" applyFont="1" applyBorder="1" applyAlignment="1" applyProtection="1">
      <alignment horizontal="center"/>
      <protection locked="0"/>
    </xf>
    <xf numFmtId="20" fontId="2" fillId="0" borderId="4" xfId="0" applyNumberFormat="1" applyFont="1" applyBorder="1" applyProtection="1">
      <protection locked="0"/>
    </xf>
    <xf numFmtId="20" fontId="2" fillId="0" borderId="4" xfId="0" applyNumberFormat="1" applyFont="1" applyBorder="1"/>
    <xf numFmtId="0" fontId="2" fillId="2" borderId="3" xfId="0" applyFont="1" applyFill="1" applyBorder="1"/>
    <xf numFmtId="165" fontId="2" fillId="2" borderId="4" xfId="0" applyNumberFormat="1" applyFont="1" applyFill="1" applyBorder="1"/>
    <xf numFmtId="164" fontId="2" fillId="2" borderId="4" xfId="0" applyNumberFormat="1" applyFont="1" applyFill="1" applyBorder="1" applyAlignment="1">
      <alignment horizontal="right"/>
    </xf>
    <xf numFmtId="20" fontId="3" fillId="2" borderId="4" xfId="0" applyNumberFormat="1" applyFont="1" applyFill="1" applyBorder="1" applyAlignment="1" applyProtection="1">
      <alignment horizontal="center"/>
      <protection locked="0"/>
    </xf>
    <xf numFmtId="20" fontId="2" fillId="2" borderId="4" xfId="0" applyNumberFormat="1" applyFont="1" applyFill="1" applyBorder="1" applyProtection="1">
      <protection locked="0"/>
    </xf>
    <xf numFmtId="0" fontId="3" fillId="2" borderId="4" xfId="0" applyFont="1" applyFill="1" applyBorder="1" applyAlignment="1" applyProtection="1">
      <alignment horizontal="center"/>
      <protection locked="0"/>
    </xf>
    <xf numFmtId="20" fontId="2" fillId="3" borderId="4" xfId="0" applyNumberFormat="1" applyFont="1" applyFill="1" applyBorder="1" applyProtection="1">
      <protection locked="0"/>
    </xf>
    <xf numFmtId="0" fontId="2" fillId="0" borderId="5" xfId="0" applyFont="1" applyBorder="1"/>
    <xf numFmtId="165" fontId="2" fillId="0" borderId="6" xfId="0" applyNumberFormat="1" applyFont="1" applyBorder="1"/>
    <xf numFmtId="164" fontId="2" fillId="0" borderId="6" xfId="0" applyNumberFormat="1" applyFont="1" applyBorder="1" applyAlignment="1">
      <alignment horizontal="right"/>
    </xf>
    <xf numFmtId="20" fontId="2" fillId="0" borderId="6" xfId="0" applyNumberFormat="1" applyFont="1" applyBorder="1" applyProtection="1">
      <protection locked="0"/>
    </xf>
    <xf numFmtId="20" fontId="2" fillId="0" borderId="7" xfId="0" applyNumberFormat="1" applyFont="1" applyBorder="1"/>
    <xf numFmtId="20" fontId="4" fillId="0" borderId="4" xfId="0" applyNumberFormat="1" applyFont="1" applyBorder="1" applyProtection="1">
      <protection locked="0"/>
    </xf>
    <xf numFmtId="2" fontId="2" fillId="0" borderId="6" xfId="0" applyNumberFormat="1" applyFont="1" applyBorder="1"/>
    <xf numFmtId="2" fontId="0" fillId="4" borderId="0" xfId="0" applyNumberFormat="1" applyFill="1"/>
    <xf numFmtId="0" fontId="0" fillId="4" borderId="0" xfId="0" applyFill="1"/>
    <xf numFmtId="0" fontId="2" fillId="5" borderId="10" xfId="0" applyFont="1" applyFill="1" applyBorder="1"/>
    <xf numFmtId="0" fontId="2" fillId="5" borderId="12" xfId="0" applyFont="1" applyFill="1" applyBorder="1"/>
    <xf numFmtId="0" fontId="2" fillId="5" borderId="8" xfId="0" applyFont="1" applyFill="1" applyBorder="1"/>
    <xf numFmtId="0" fontId="2" fillId="4" borderId="9" xfId="0" applyFont="1" applyFill="1" applyBorder="1" applyProtection="1">
      <protection locked="0"/>
    </xf>
    <xf numFmtId="170" fontId="0" fillId="0" borderId="0" xfId="0" applyNumberFormat="1"/>
    <xf numFmtId="167" fontId="2" fillId="5" borderId="10" xfId="0" applyNumberFormat="1" applyFont="1" applyFill="1" applyBorder="1"/>
    <xf numFmtId="167" fontId="2" fillId="0" borderId="11" xfId="0" applyNumberFormat="1" applyFont="1" applyBorder="1"/>
    <xf numFmtId="168" fontId="2" fillId="0" borderId="13" xfId="0" applyNumberFormat="1" applyFont="1" applyBorder="1"/>
    <xf numFmtId="14" fontId="0" fillId="0" borderId="0" xfId="0" applyNumberFormat="1"/>
    <xf numFmtId="0" fontId="2" fillId="0" borderId="14" xfId="0" applyFont="1" applyBorder="1"/>
    <xf numFmtId="0" fontId="2" fillId="6" borderId="15" xfId="0" applyFont="1" applyFill="1" applyBorder="1"/>
    <xf numFmtId="0" fontId="5" fillId="5" borderId="16" xfId="0" applyFont="1" applyFill="1" applyBorder="1"/>
    <xf numFmtId="0" fontId="5" fillId="0" borderId="17" xfId="0" applyFont="1" applyBorder="1"/>
    <xf numFmtId="0" fontId="2" fillId="6" borderId="18" xfId="0" applyFont="1" applyFill="1" applyBorder="1"/>
    <xf numFmtId="0" fontId="2" fillId="6" borderId="19" xfId="0" applyFont="1" applyFill="1" applyBorder="1"/>
    <xf numFmtId="0" fontId="2" fillId="0" borderId="17" xfId="0" applyFont="1" applyBorder="1" applyAlignment="1">
      <alignment wrapText="1"/>
    </xf>
    <xf numFmtId="20" fontId="2" fillId="0" borderId="4" xfId="0" applyNumberFormat="1" applyFont="1" applyBorder="1" applyAlignment="1">
      <alignment horizontal="right"/>
    </xf>
    <xf numFmtId="46" fontId="0" fillId="0" borderId="0" xfId="0" applyNumberFormat="1"/>
    <xf numFmtId="18" fontId="0" fillId="0" borderId="0" xfId="0" applyNumberFormat="1"/>
    <xf numFmtId="171" fontId="0" fillId="0" borderId="0" xfId="0" applyNumberFormat="1"/>
    <xf numFmtId="0" fontId="0" fillId="0" borderId="20" xfId="0" applyBorder="1"/>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4" fontId="0" fillId="0" borderId="0" xfId="0" applyNumberFormat="1"/>
    <xf numFmtId="2" fontId="2" fillId="0" borderId="0" xfId="0" applyNumberFormat="1" applyFont="1" applyAlignment="1">
      <alignment horizontal="right"/>
    </xf>
    <xf numFmtId="4" fontId="2" fillId="0" borderId="21" xfId="0" applyNumberFormat="1" applyFont="1" applyBorder="1" applyAlignment="1">
      <alignment horizontal="right"/>
    </xf>
    <xf numFmtId="46" fontId="2" fillId="0" borderId="22" xfId="0" applyNumberFormat="1" applyFont="1" applyBorder="1" applyAlignment="1">
      <alignment horizontal="right"/>
    </xf>
    <xf numFmtId="0" fontId="2" fillId="0" borderId="11" xfId="0" applyFont="1" applyBorder="1" applyAlignment="1">
      <alignment wrapText="1"/>
    </xf>
    <xf numFmtId="0" fontId="2" fillId="0" borderId="22" xfId="0" applyFont="1" applyBorder="1" applyAlignment="1">
      <alignment horizontal="right"/>
    </xf>
    <xf numFmtId="0" fontId="2" fillId="0" borderId="4" xfId="0" applyFont="1" applyBorder="1" applyAlignment="1">
      <alignment horizontal="right"/>
    </xf>
    <xf numFmtId="14" fontId="2" fillId="4" borderId="13" xfId="0" applyNumberFormat="1" applyFont="1" applyFill="1" applyBorder="1" applyProtection="1">
      <protection locked="0"/>
    </xf>
    <xf numFmtId="0" fontId="2" fillId="4" borderId="6" xfId="0" applyFont="1" applyFill="1" applyBorder="1" applyProtection="1">
      <protection locked="0"/>
    </xf>
    <xf numFmtId="0" fontId="0" fillId="4" borderId="6" xfId="0" applyFill="1" applyBorder="1" applyProtection="1">
      <protection locked="0"/>
    </xf>
    <xf numFmtId="2" fontId="0" fillId="4" borderId="6" xfId="0" applyNumberFormat="1" applyFill="1" applyBorder="1" applyProtection="1">
      <protection locked="0"/>
    </xf>
    <xf numFmtId="0" fontId="2" fillId="0" borderId="22" xfId="0" applyFont="1" applyBorder="1" applyAlignment="1" applyProtection="1">
      <alignment horizontal="right"/>
      <protection locked="0"/>
    </xf>
    <xf numFmtId="0" fontId="2" fillId="0" borderId="4" xfId="0" applyFont="1" applyBorder="1" applyAlignment="1" applyProtection="1">
      <alignment horizontal="right"/>
      <protection locked="0"/>
    </xf>
    <xf numFmtId="0" fontId="6" fillId="5" borderId="6" xfId="0" applyFont="1" applyFill="1" applyBorder="1"/>
    <xf numFmtId="4" fontId="0" fillId="0" borderId="6" xfId="0" applyNumberFormat="1" applyBorder="1" applyAlignment="1">
      <alignment horizontal="right"/>
    </xf>
    <xf numFmtId="0" fontId="2" fillId="0" borderId="0" xfId="0" applyFont="1"/>
    <xf numFmtId="2" fontId="2" fillId="0" borderId="0" xfId="0" applyNumberFormat="1" applyFont="1"/>
    <xf numFmtId="168" fontId="6" fillId="5" borderId="6" xfId="0" applyNumberFormat="1" applyFont="1" applyFill="1" applyBorder="1"/>
    <xf numFmtId="0" fontId="0" fillId="0" borderId="6" xfId="0" applyBorder="1"/>
    <xf numFmtId="172" fontId="0" fillId="0" borderId="6" xfId="0" applyNumberFormat="1" applyBorder="1" applyAlignment="1">
      <alignment horizontal="right"/>
    </xf>
    <xf numFmtId="168" fontId="6" fillId="5" borderId="6" xfId="0" applyNumberFormat="1" applyFont="1" applyFill="1" applyBorder="1" applyAlignment="1">
      <alignment horizontal="right"/>
    </xf>
    <xf numFmtId="0" fontId="0" fillId="0" borderId="6" xfId="0" quotePrefix="1" applyBorder="1" applyAlignment="1">
      <alignment horizontal="center"/>
    </xf>
    <xf numFmtId="0" fontId="2" fillId="0" borderId="0" xfId="0" quotePrefix="1" applyFont="1"/>
    <xf numFmtId="0" fontId="5" fillId="5" borderId="12" xfId="0" applyFont="1" applyFill="1" applyBorder="1"/>
    <xf numFmtId="0" fontId="2" fillId="5" borderId="0" xfId="0" applyFont="1" applyFill="1"/>
    <xf numFmtId="0" fontId="7" fillId="0" borderId="11" xfId="0" applyFont="1" applyBorder="1" applyAlignment="1">
      <alignment wrapText="1"/>
    </xf>
    <xf numFmtId="0" fontId="4" fillId="5" borderId="6" xfId="0" applyFont="1" applyFill="1" applyBorder="1"/>
    <xf numFmtId="172" fontId="0" fillId="0" borderId="11" xfId="0" applyNumberFormat="1" applyBorder="1" applyAlignment="1">
      <alignment horizontal="right"/>
    </xf>
    <xf numFmtId="0" fontId="7" fillId="0" borderId="11" xfId="0" applyFont="1" applyBorder="1" applyAlignment="1">
      <alignment vertical="top" wrapText="1"/>
    </xf>
    <xf numFmtId="0" fontId="2" fillId="0" borderId="4" xfId="0" applyFont="1" applyBorder="1" applyAlignment="1" applyProtection="1">
      <alignment horizontal="right"/>
    </xf>
    <xf numFmtId="20" fontId="2" fillId="0" borderId="4" xfId="0" applyNumberFormat="1" applyFont="1" applyBorder="1" applyProtection="1"/>
    <xf numFmtId="0" fontId="0" fillId="0" borderId="0" xfId="0" applyProtection="1"/>
    <xf numFmtId="20" fontId="0" fillId="0" borderId="0" xfId="0" applyNumberFormat="1" applyProtection="1"/>
    <xf numFmtId="2" fontId="0" fillId="0" borderId="0" xfId="0" applyNumberFormat="1" applyProtection="1"/>
    <xf numFmtId="170" fontId="0" fillId="0" borderId="0" xfId="0" applyNumberFormat="1" applyProtection="1"/>
    <xf numFmtId="14" fontId="0" fillId="0" borderId="0" xfId="0" applyNumberFormat="1" applyProtection="1"/>
    <xf numFmtId="18" fontId="0" fillId="0" borderId="0" xfId="0" applyNumberFormat="1" applyProtection="1"/>
    <xf numFmtId="0" fontId="0" fillId="0" borderId="20" xfId="0" applyBorder="1" applyProtection="1"/>
    <xf numFmtId="2" fontId="2" fillId="0" borderId="0" xfId="0" applyNumberFormat="1" applyFont="1" applyAlignment="1" applyProtection="1">
      <alignment horizontal="right"/>
    </xf>
    <xf numFmtId="46" fontId="0" fillId="0" borderId="0" xfId="0" applyNumberFormat="1" applyProtection="1"/>
    <xf numFmtId="4" fontId="0" fillId="0" borderId="0" xfId="0" applyNumberFormat="1" applyProtection="1"/>
    <xf numFmtId="0" fontId="2" fillId="0" borderId="3" xfId="0" applyFont="1" applyBorder="1" applyProtection="1"/>
    <xf numFmtId="165" fontId="2" fillId="0" borderId="4" xfId="0" applyNumberFormat="1" applyFont="1" applyBorder="1" applyProtection="1"/>
    <xf numFmtId="164" fontId="2" fillId="0" borderId="4" xfId="0" applyNumberFormat="1" applyFont="1" applyBorder="1" applyAlignment="1" applyProtection="1">
      <alignment horizontal="right"/>
    </xf>
    <xf numFmtId="171" fontId="0" fillId="0" borderId="0" xfId="0" applyNumberFormat="1" applyProtection="1"/>
    <xf numFmtId="166" fontId="0" fillId="0" borderId="0" xfId="0" applyNumberFormat="1" applyProtection="1"/>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5" borderId="10" xfId="0" applyFont="1" applyFill="1" applyBorder="1" applyProtection="1"/>
    <xf numFmtId="172" fontId="0" fillId="0" borderId="11" xfId="0" applyNumberFormat="1" applyBorder="1" applyAlignment="1" applyProtection="1">
      <alignment horizontal="right"/>
    </xf>
    <xf numFmtId="0" fontId="2" fillId="6" borderId="18" xfId="0" applyFont="1" applyFill="1" applyBorder="1" applyProtection="1"/>
    <xf numFmtId="0" fontId="2" fillId="0" borderId="17" xfId="0" applyFont="1" applyBorder="1" applyAlignment="1" applyProtection="1">
      <alignment wrapText="1"/>
    </xf>
    <xf numFmtId="167" fontId="2" fillId="5" borderId="10" xfId="0" applyNumberFormat="1" applyFont="1" applyFill="1" applyBorder="1" applyProtection="1"/>
    <xf numFmtId="167" fontId="2" fillId="0" borderId="11" xfId="0" applyNumberFormat="1" applyFont="1" applyBorder="1" applyProtection="1"/>
    <xf numFmtId="0" fontId="2" fillId="6" borderId="19" xfId="0" applyFont="1" applyFill="1" applyBorder="1" applyProtection="1"/>
    <xf numFmtId="0" fontId="7" fillId="0" borderId="11" xfId="0" applyFont="1" applyBorder="1" applyAlignment="1" applyProtection="1">
      <alignment horizontal="left" vertical="top" wrapText="1"/>
    </xf>
    <xf numFmtId="0" fontId="2" fillId="5" borderId="12" xfId="0" applyFont="1" applyFill="1" applyBorder="1" applyProtection="1"/>
    <xf numFmtId="168" fontId="2" fillId="0" borderId="13" xfId="0" applyNumberFormat="1" applyFont="1" applyBorder="1" applyProtection="1"/>
    <xf numFmtId="0" fontId="2" fillId="6" borderId="15" xfId="0" applyFont="1" applyFill="1" applyBorder="1" applyProtection="1"/>
    <xf numFmtId="0" fontId="2" fillId="0" borderId="14" xfId="0" applyFont="1" applyBorder="1" applyProtection="1"/>
    <xf numFmtId="0" fontId="5" fillId="5" borderId="16" xfId="0" applyFont="1" applyFill="1" applyBorder="1" applyProtection="1"/>
    <xf numFmtId="0" fontId="5" fillId="0" borderId="17" xfId="0" applyFont="1" applyBorder="1" applyProtection="1"/>
    <xf numFmtId="0" fontId="2" fillId="5" borderId="8" xfId="0" applyFont="1" applyFill="1" applyBorder="1" applyProtection="1"/>
  </cellXfs>
  <cellStyles count="1">
    <cellStyle name="Normal" xfId="0" builtinId="0"/>
  </cellStyles>
  <dxfs count="74">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89996032593768116"/>
        </patternFill>
      </fill>
    </dxf>
    <dxf>
      <fill>
        <patternFill>
          <bgColor theme="3" tint="0.499984740745262"/>
        </patternFill>
      </fill>
    </dxf>
    <dxf>
      <font>
        <color theme="2"/>
      </font>
      <fill>
        <patternFill>
          <bgColor theme="2"/>
        </patternFill>
      </fill>
    </dxf>
    <dxf>
      <fill>
        <patternFill>
          <bgColor theme="3" tint="0.89996032593768116"/>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49998474074526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protection locked="1" hidden="0"/>
    </dxf>
    <dxf>
      <font>
        <b val="0"/>
        <i val="0"/>
        <strike val="0"/>
        <condense val="0"/>
        <extend val="0"/>
        <outline val="0"/>
        <shadow val="0"/>
        <u val="none"/>
        <vertAlign val="baseline"/>
        <sz val="11"/>
        <color theme="1"/>
        <name val="AU Passata"/>
        <family val="2"/>
        <scheme val="none"/>
      </font>
      <protection locked="1" hidden="0"/>
    </dxf>
    <dxf>
      <font>
        <b val="0"/>
        <i val="0"/>
        <strike val="0"/>
        <condense val="0"/>
        <extend val="0"/>
        <outline val="0"/>
        <shadow val="0"/>
        <u val="none"/>
        <vertAlign val="baseline"/>
        <sz val="11"/>
        <color theme="1"/>
        <name val="AU Passata"/>
        <family val="2"/>
        <scheme val="none"/>
      </font>
      <protection locked="1" hidden="0"/>
    </dxf>
    <dxf>
      <font>
        <b val="0"/>
        <i val="0"/>
        <strike val="0"/>
        <condense val="0"/>
        <extend val="0"/>
        <outline val="0"/>
        <shadow val="0"/>
        <u val="none"/>
        <vertAlign val="baseline"/>
        <sz val="11"/>
        <color theme="1"/>
        <name val="AU Passata"/>
        <family val="2"/>
        <scheme val="none"/>
      </font>
      <protection locked="1" hidden="0"/>
    </dxf>
    <dxf>
      <font>
        <b val="0"/>
        <i val="0"/>
        <strike val="0"/>
        <condense val="0"/>
        <extend val="0"/>
        <outline val="0"/>
        <shadow val="0"/>
        <u val="none"/>
        <vertAlign val="baseline"/>
        <sz val="11"/>
        <color theme="1"/>
        <name val="AU Passata"/>
        <family val="2"/>
        <scheme val="none"/>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212912</xdr:colOff>
      <xdr:row>0</xdr:row>
      <xdr:rowOff>190499</xdr:rowOff>
    </xdr:from>
    <xdr:to>
      <xdr:col>31</xdr:col>
      <xdr:colOff>231589</xdr:colOff>
      <xdr:row>36</xdr:row>
      <xdr:rowOff>154781</xdr:rowOff>
    </xdr:to>
    <xdr:sp macro="" textlink="">
      <xdr:nvSpPr>
        <xdr:cNvPr id="3" name="Tekstfelt 2">
          <a:extLst>
            <a:ext uri="{FF2B5EF4-FFF2-40B4-BE49-F238E27FC236}">
              <a16:creationId xmlns:a16="http://schemas.microsoft.com/office/drawing/2014/main" id="{7045FEF8-D5B0-4180-ADA3-87309B9EEFA1}"/>
            </a:ext>
          </a:extLst>
        </xdr:cNvPr>
        <xdr:cNvSpPr txBox="1"/>
      </xdr:nvSpPr>
      <xdr:spPr>
        <a:xfrm>
          <a:off x="8225818" y="190499"/>
          <a:ext cx="6924302" cy="7322345"/>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da-DK" sz="1400"/>
            <a:t>Quick</a:t>
          </a:r>
          <a:r>
            <a:rPr lang="da-DK" sz="1400" baseline="0"/>
            <a:t> guide </a:t>
          </a:r>
          <a:r>
            <a:rPr sz="1400"/>
            <a:t>for the working time registration form</a:t>
          </a:r>
        </a:p>
        <a:p>
          <a:pPr rtl="0"/>
          <a:endParaRPr lang="da-DK" sz="1100">
            <a:latin typeface="AU Passata" panose="020B0503030502030804" pitchFamily="34" charset="0"/>
          </a:endParaRPr>
        </a:p>
        <a:p>
          <a:pPr rtl="0"/>
          <a:r>
            <a:rPr sz="1100" b="1">
              <a:solidFill>
                <a:schemeClr val="dk1"/>
              </a:solidFill>
              <a:latin typeface="AU Passata" panose="020B0503030502030804" pitchFamily="34" charset="0"/>
              <a:ea typeface="+mn-ea"/>
              <a:cs typeface="+mn-cs"/>
            </a:rPr>
            <a:t>The </a:t>
          </a:r>
          <a:r>
            <a:rPr lang="en-US" sz="1100" b="1">
              <a:solidFill>
                <a:schemeClr val="dk1"/>
              </a:solidFill>
              <a:latin typeface="AU Passata" panose="020B0503030502030804" pitchFamily="34" charset="0"/>
              <a:ea typeface="+mn-ea"/>
              <a:cs typeface="+mn-cs"/>
            </a:rPr>
            <a:t>M</a:t>
          </a:r>
          <a:r>
            <a:rPr sz="1100" b="1">
              <a:solidFill>
                <a:schemeClr val="dk1"/>
              </a:solidFill>
              <a:latin typeface="AU Passata" panose="020B0503030502030804" pitchFamily="34" charset="0"/>
              <a:ea typeface="+mn-ea"/>
              <a:cs typeface="+mn-cs"/>
            </a:rPr>
            <a:t>asterdata tab:</a:t>
          </a:r>
        </a:p>
        <a:p>
          <a:pPr rtl="0"/>
          <a:endParaRPr lang="da-DK" sz="1100" b="1" u="sng">
            <a:latin typeface="AU Passata" panose="020B0503030502030804" pitchFamily="34" charset="0"/>
          </a:endParaRPr>
        </a:p>
        <a:p>
          <a:pPr rtl="0"/>
          <a:r>
            <a:rPr lang="en-GB" sz="1100">
              <a:latin typeface="AU Passata" panose="020B0503030502030804" pitchFamily="34" charset="0"/>
            </a:rPr>
            <a:t>This is the master data tab. You can edit the yellow fields under ‘master data’. </a:t>
          </a:r>
        </a:p>
        <a:p>
          <a:pPr rtl="0"/>
          <a:endParaRPr lang="en-GB" sz="1100">
            <a:latin typeface="AU Passata" panose="020B0503030502030804" pitchFamily="34" charset="0"/>
          </a:endParaRPr>
        </a:p>
        <a:p>
          <a:pPr rtl="0"/>
          <a:r>
            <a:rPr lang="en-GB" sz="1100">
              <a:latin typeface="AU Passata" panose="020B0503030502030804" pitchFamily="34" charset="0"/>
            </a:rPr>
            <a:t>This tab gives you:</a:t>
          </a:r>
        </a:p>
        <a:p>
          <a:pPr rtl="0"/>
          <a:endParaRPr lang="en-GB" sz="1100">
            <a:latin typeface="AU Passata" panose="020B0503030502030804" pitchFamily="34" charset="0"/>
          </a:endParaRPr>
        </a:p>
        <a:p>
          <a:pPr rtl="0"/>
          <a:r>
            <a:rPr lang="en-GB" sz="1100">
              <a:latin typeface="AU Passata" panose="020B0503030502030804" pitchFamily="34" charset="0"/>
            </a:rPr>
            <a:t>- An accurate overview of your total deviation from the standard working hours for the current year to date.</a:t>
          </a:r>
        </a:p>
        <a:p>
          <a:pPr rtl="0"/>
          <a:r>
            <a:rPr lang="en-GB" sz="1100">
              <a:latin typeface="AU Passata" panose="020B0503030502030804" pitchFamily="34" charset="0"/>
            </a:rPr>
            <a:t>- A summary of working time for each month.</a:t>
          </a:r>
        </a:p>
        <a:p>
          <a:pPr rtl="0"/>
          <a:endParaRPr lang="en-GB" sz="1100">
            <a:latin typeface="AU Passata" panose="020B0503030502030804" pitchFamily="34" charset="0"/>
          </a:endParaRPr>
        </a:p>
        <a:p>
          <a:pPr rtl="0"/>
          <a:r>
            <a:rPr lang="en-GB" sz="1100">
              <a:latin typeface="AU Passata" panose="020B0503030502030804" pitchFamily="34" charset="0"/>
            </a:rPr>
            <a:t>If your standard working hours are not 37 hrs/wk, insert the correct working time on the tab for each month.</a:t>
          </a:r>
        </a:p>
        <a:p>
          <a:pPr rtl="0"/>
          <a:endParaRPr lang="en-GB" sz="1100">
            <a:latin typeface="AU Passata" panose="020B0503030502030804" pitchFamily="34" charset="0"/>
          </a:endParaRPr>
        </a:p>
        <a:p>
          <a:pPr rtl="0"/>
          <a:r>
            <a:rPr lang="en-GB" sz="1100">
              <a:latin typeface="AU Passata" panose="020B0503030502030804" pitchFamily="34" charset="0"/>
            </a:rPr>
            <a:t>If you have hours that are carried over from previous years, add them to this tab.</a:t>
          </a:r>
        </a:p>
        <a:p>
          <a:pPr rtl="0"/>
          <a:endParaRPr lang="en-GB" sz="1100">
            <a:latin typeface="AU Passata" panose="020B0503030502030804" pitchFamily="34" charset="0"/>
          </a:endParaRPr>
        </a:p>
        <a:p>
          <a:pPr rtl="0"/>
          <a:r>
            <a:rPr lang="en-GB" sz="1100">
              <a:latin typeface="AU Passata" panose="020B0503030502030804" pitchFamily="34" charset="0"/>
            </a:rPr>
            <a:t>You can only edit the yellow fields under ‘master data’ (the other fields are locked, so the underlying formulas can’t be overwritten).</a:t>
          </a:r>
        </a:p>
        <a:p>
          <a:pPr rtl="0"/>
          <a:endParaRPr lang="da-DK" sz="1100">
            <a:latin typeface="AU Passata" panose="020B0503030502030804" pitchFamily="34" charset="0"/>
          </a:endParaRPr>
        </a:p>
        <a:p>
          <a:pPr rtl="0"/>
          <a:r>
            <a:rPr lang="da-DK" sz="1100" b="1" i="0" u="none" baseline="0">
              <a:solidFill>
                <a:schemeClr val="dk1"/>
              </a:solidFill>
              <a:latin typeface="AU Passata" panose="020B0503030502030804" pitchFamily="34" charset="0"/>
              <a:ea typeface="+mn-ea"/>
              <a:cs typeface="+mn-cs"/>
            </a:rPr>
            <a:t>Guide to the </a:t>
          </a:r>
          <a:r>
            <a:rPr sz="1100" b="1" i="0" u="none" baseline="0">
              <a:solidFill>
                <a:schemeClr val="dk1"/>
              </a:solidFill>
              <a:latin typeface="AU Passata" panose="020B0503030502030804" pitchFamily="34" charset="0"/>
              <a:ea typeface="+mn-ea"/>
              <a:cs typeface="+mn-cs"/>
            </a:rPr>
            <a:t>month tabs:</a:t>
          </a:r>
        </a:p>
        <a:p>
          <a:pPr rtl="0"/>
          <a:endParaRPr lang="da-DK" sz="1100" b="1" i="0" u="sng">
            <a:latin typeface="AU Passata" panose="020B0503030502030804" pitchFamily="34" charset="0"/>
          </a:endParaRPr>
        </a:p>
        <a:p>
          <a:pPr rtl="0"/>
          <a:r>
            <a:rPr lang="da-DK" sz="1100" b="0" i="0" u="none" baseline="0">
              <a:solidFill>
                <a:schemeClr val="dk1"/>
              </a:solidFill>
              <a:latin typeface="AU Passata" panose="020B0503030502030804" pitchFamily="34" charset="0"/>
              <a:ea typeface="+mn-ea"/>
              <a:cs typeface="+mn-cs"/>
            </a:rPr>
            <a:t>The tabs have been filled out in advance with a standard weekly working time of 37 hrs/wk and a standard daily working time of 7 hrs and 24 min. </a:t>
          </a:r>
        </a:p>
        <a:p>
          <a:pPr rtl="0"/>
          <a:endParaRPr lang="da-DK" sz="1100" b="0" i="0" u="none" baseline="0">
            <a:solidFill>
              <a:schemeClr val="dk1"/>
            </a:solidFill>
            <a:latin typeface="AU Passata" panose="020B0503030502030804" pitchFamily="34" charset="0"/>
            <a:ea typeface="+mn-ea"/>
            <a:cs typeface="+mn-cs"/>
          </a:endParaRPr>
        </a:p>
        <a:p>
          <a:pPr rtl="0"/>
          <a:r>
            <a:rPr lang="da-DK" sz="1100" b="0" i="0" u="none" baseline="0">
              <a:solidFill>
                <a:schemeClr val="dk1"/>
              </a:solidFill>
              <a:latin typeface="AU Passata" panose="020B0503030502030804" pitchFamily="34" charset="0"/>
              <a:ea typeface="+mn-ea"/>
              <a:cs typeface="+mn-cs"/>
            </a:rPr>
            <a:t>The code ‘N’ identifies a standard day with no deviations. If you need to specify your working time for a particular day, change to code from ‘N’ to ‘R’ in the ‘code’ field. Otherwise, you can’t edit the fields. </a:t>
          </a:r>
        </a:p>
        <a:p>
          <a:pPr rtl="0"/>
          <a:endParaRPr lang="da-DK" sz="1100" b="0" i="0" u="none" baseline="0">
            <a:solidFill>
              <a:schemeClr val="dk1"/>
            </a:solidFill>
            <a:latin typeface="AU Passata" panose="020B0503030502030804" pitchFamily="34" charset="0"/>
            <a:ea typeface="+mn-ea"/>
            <a:cs typeface="+mn-cs"/>
          </a:endParaRPr>
        </a:p>
        <a:p>
          <a:pPr rtl="0"/>
          <a:r>
            <a:rPr lang="da-DK" sz="1100" b="0" i="0" u="none" baseline="0">
              <a:solidFill>
                <a:schemeClr val="dk1"/>
              </a:solidFill>
              <a:latin typeface="AU Passata" panose="020B0503030502030804" pitchFamily="34" charset="0"/>
              <a:ea typeface="+mn-ea"/>
              <a:cs typeface="+mn-cs"/>
            </a:rPr>
            <a:t>Once you select ‘R’, you can either enter both arrival and departure times (start -end) or enter your total working time for the day in the column ‘actual working time’. You can’t select both formats at the same time, because ‘actual working time’ overwrites start and end times.</a:t>
          </a:r>
        </a:p>
        <a:p>
          <a:pPr rtl="0"/>
          <a:endParaRPr lang="da-DK" sz="1100" b="0" i="0" u="none" baseline="0">
            <a:solidFill>
              <a:schemeClr val="dk1"/>
            </a:solidFill>
            <a:latin typeface="AU Passata" panose="020B0503030502030804" pitchFamily="34" charset="0"/>
            <a:ea typeface="+mn-ea"/>
            <a:cs typeface="+mn-cs"/>
          </a:endParaRPr>
        </a:p>
        <a:p>
          <a:pPr rtl="0"/>
          <a:r>
            <a:rPr lang="da-DK" sz="1100" b="0" i="0" u="none" baseline="0">
              <a:solidFill>
                <a:schemeClr val="dk1"/>
              </a:solidFill>
              <a:latin typeface="AU Passata" panose="020B0503030502030804" pitchFamily="34" charset="0"/>
              <a:ea typeface="+mn-ea"/>
              <a:cs typeface="+mn-cs"/>
            </a:rPr>
            <a:t>All times must be expressed in hours and minutes: for example, 9:30 for 9 hours and 30 minutes. Remember to separate the hours and minutes with a colon.</a:t>
          </a:r>
        </a:p>
        <a:p>
          <a:pPr rtl="0"/>
          <a:endParaRPr lang="da-DK" sz="1100" b="0" i="0" u="none" baseline="0">
            <a:solidFill>
              <a:schemeClr val="dk1"/>
            </a:solidFill>
            <a:latin typeface="AU Passata" panose="020B0503030502030804" pitchFamily="34" charset="0"/>
            <a:ea typeface="+mn-ea"/>
            <a:cs typeface="+mn-cs"/>
          </a:endParaRPr>
        </a:p>
        <a:p>
          <a:pPr rtl="0"/>
          <a:r>
            <a:rPr lang="da-DK" sz="1100" b="1" i="0" u="none" baseline="0">
              <a:solidFill>
                <a:schemeClr val="dk1"/>
              </a:solidFill>
              <a:latin typeface="AU Passata" panose="020B0503030502030804" pitchFamily="34" charset="0"/>
              <a:ea typeface="+mn-ea"/>
              <a:cs typeface="+mn-cs"/>
            </a:rPr>
            <a:t>Please note</a:t>
          </a:r>
          <a:r>
            <a:rPr lang="da-DK" sz="1100" b="0" i="0" u="none" baseline="0">
              <a:solidFill>
                <a:schemeClr val="dk1"/>
              </a:solidFill>
              <a:latin typeface="AU Passata" panose="020B0503030502030804" pitchFamily="34" charset="0"/>
              <a:ea typeface="+mn-ea"/>
              <a:cs typeface="+mn-cs"/>
            </a:rPr>
            <a:t>: Don’t register illness, vacation, leave or other forms of paid absence on the working time registration form. Register these forms of absence in mitHR.</a:t>
          </a:r>
        </a:p>
        <a:p>
          <a:pPr rtl="0"/>
          <a:endParaRPr lang="da-DK" sz="1100" b="0" i="0" u="none" baseline="0">
            <a:solidFill>
              <a:schemeClr val="dk1"/>
            </a:solidFill>
            <a:latin typeface="AU Passata" panose="020B0503030502030804" pitchFamily="34" charset="0"/>
            <a:ea typeface="+mn-ea"/>
            <a:cs typeface="+mn-cs"/>
          </a:endParaRPr>
        </a:p>
        <a:p>
          <a:pPr rtl="0"/>
          <a:endParaRPr lang="da-DK" sz="1100" b="0" i="0" u="none" baseline="0">
            <a:solidFill>
              <a:schemeClr val="dk1"/>
            </a:solidFill>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a-DK" sz="1100" b="1" baseline="0">
              <a:latin typeface="AU Passata" panose="020B0503030502030804" pitchFamily="34" charset="0"/>
            </a:rPr>
            <a:t>Where and how to save the form</a:t>
          </a:r>
        </a:p>
        <a:p>
          <a:pPr marL="0" marR="0" lvl="0" indent="0" defTabSz="914400" rtl="0" eaLnBrk="1" fontAlgn="auto" latinLnBrk="0" hangingPunct="1">
            <a:lnSpc>
              <a:spcPct val="100000"/>
            </a:lnSpc>
            <a:spcBef>
              <a:spcPts val="0"/>
            </a:spcBef>
            <a:spcAft>
              <a:spcPts val="0"/>
            </a:spcAft>
            <a:buClrTx/>
            <a:buSzTx/>
            <a:buFontTx/>
            <a:buNone/>
            <a:tabLst/>
            <a:defRPr/>
          </a:pPr>
          <a:endParaRPr lang="da-DK" sz="1100" b="1" baseline="0">
            <a:latin typeface="AU Passata" panose="020B05030305020308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da-DK" sz="1100" b="0" baseline="0">
              <a:latin typeface="AU Passata" panose="020B0503030502030804" pitchFamily="34" charset="0"/>
            </a:rPr>
            <a:t>Save the working time registration form on your local SharePoint site.</a:t>
          </a:r>
        </a:p>
        <a:p>
          <a:pPr marL="0" marR="0" lvl="0" indent="0" defTabSz="914400" rtl="0" eaLnBrk="1" fontAlgn="auto" latinLnBrk="0" hangingPunct="1">
            <a:lnSpc>
              <a:spcPct val="100000"/>
            </a:lnSpc>
            <a:spcBef>
              <a:spcPts val="0"/>
            </a:spcBef>
            <a:spcAft>
              <a:spcPts val="0"/>
            </a:spcAft>
            <a:buClrTx/>
            <a:buSzTx/>
            <a:buFontTx/>
            <a:buNone/>
            <a:tabLst/>
            <a:defRPr/>
          </a:pPr>
          <a:endParaRPr lang="da-DK" sz="1100" b="0" baseline="0">
            <a:latin typeface="AU Passata" panose="020B05030305020308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da-DK" sz="1100" b="0" baseline="0">
              <a:latin typeface="AU Passata" panose="020B0503030502030804" pitchFamily="34" charset="0"/>
            </a:rPr>
            <a:t>Restrict access to the form so that only you and your manager can see your data. Read more at medarbejdere.au.dk/registration-of-working-time</a:t>
          </a:r>
        </a:p>
        <a:p>
          <a:pPr marL="0" marR="0" lvl="0" indent="0" defTabSz="914400" rtl="0" eaLnBrk="1" fontAlgn="auto" latinLnBrk="0" hangingPunct="1">
            <a:lnSpc>
              <a:spcPct val="100000"/>
            </a:lnSpc>
            <a:spcBef>
              <a:spcPts val="0"/>
            </a:spcBef>
            <a:spcAft>
              <a:spcPts val="0"/>
            </a:spcAft>
            <a:buClrTx/>
            <a:buSzTx/>
            <a:buFontTx/>
            <a:buNone/>
            <a:tabLst/>
            <a:defRPr/>
          </a:pPr>
          <a:endParaRPr lang="da-DK" sz="1100" b="1" baseline="0">
            <a:latin typeface="AU Passata" panose="020B05030305020308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da-DK" sz="1100" baseline="0">
            <a:latin typeface="AU Passata" panose="020B05030305020308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da-DK" sz="1100" baseline="0">
            <a:latin typeface="AU Passata" panose="020B0503030502030804" pitchFamily="34" charset="0"/>
          </a:endParaRPr>
        </a:p>
      </xdr:txBody>
    </xdr:sp>
    <xdr:clientData/>
  </xdr:twoCellAnchor>
  <xdr:twoCellAnchor editAs="oneCell">
    <xdr:from>
      <xdr:col>2</xdr:col>
      <xdr:colOff>71436</xdr:colOff>
      <xdr:row>2</xdr:row>
      <xdr:rowOff>47624</xdr:rowOff>
    </xdr:from>
    <xdr:to>
      <xdr:col>3</xdr:col>
      <xdr:colOff>1149803</xdr:colOff>
      <xdr:row>4</xdr:row>
      <xdr:rowOff>177989</xdr:rowOff>
    </xdr:to>
    <xdr:pic>
      <xdr:nvPicPr>
        <xdr:cNvPr id="2" name="Billede 2">
          <a:extLst>
            <a:ext uri="{FF2B5EF4-FFF2-40B4-BE49-F238E27FC236}">
              <a16:creationId xmlns:a16="http://schemas.microsoft.com/office/drawing/2014/main" id="{0A2F62B9-7023-4279-B696-86E93BB2D9AA}"/>
            </a:ext>
          </a:extLst>
        </xdr:cNvPr>
        <xdr:cNvPicPr>
          <a:picLocks noChangeAspect="1"/>
        </xdr:cNvPicPr>
      </xdr:nvPicPr>
      <xdr:blipFill>
        <a:blip xmlns:r="http://schemas.openxmlformats.org/officeDocument/2006/relationships" r:embed="rId1"/>
        <a:stretch>
          <a:fillRect/>
        </a:stretch>
      </xdr:blipFill>
      <xdr:spPr>
        <a:xfrm>
          <a:off x="5631655" y="440530"/>
          <a:ext cx="2340429" cy="558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517072</xdr:colOff>
      <xdr:row>1</xdr:row>
      <xdr:rowOff>374842</xdr:rowOff>
    </xdr:to>
    <xdr:pic>
      <xdr:nvPicPr>
        <xdr:cNvPr id="2" name="Billede 1">
          <a:extLst>
            <a:ext uri="{FF2B5EF4-FFF2-40B4-BE49-F238E27FC236}">
              <a16:creationId xmlns:a16="http://schemas.microsoft.com/office/drawing/2014/main" id="{C475379E-79C5-4E4F-B0D5-92B3B2980AA9}"/>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517072</xdr:colOff>
      <xdr:row>1</xdr:row>
      <xdr:rowOff>374842</xdr:rowOff>
    </xdr:to>
    <xdr:pic>
      <xdr:nvPicPr>
        <xdr:cNvPr id="2" name="Billede 1">
          <a:extLst>
            <a:ext uri="{FF2B5EF4-FFF2-40B4-BE49-F238E27FC236}">
              <a16:creationId xmlns:a16="http://schemas.microsoft.com/office/drawing/2014/main" id="{74C03BDE-A9A4-47E4-9C4F-0C023020B820}"/>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517072</xdr:colOff>
      <xdr:row>1</xdr:row>
      <xdr:rowOff>374842</xdr:rowOff>
    </xdr:to>
    <xdr:pic>
      <xdr:nvPicPr>
        <xdr:cNvPr id="2" name="Billede 1">
          <a:extLst>
            <a:ext uri="{FF2B5EF4-FFF2-40B4-BE49-F238E27FC236}">
              <a16:creationId xmlns:a16="http://schemas.microsoft.com/office/drawing/2014/main" id="{24EA1101-5D9A-4436-81AA-162B5FCDC4E3}"/>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517072</xdr:colOff>
      <xdr:row>1</xdr:row>
      <xdr:rowOff>374842</xdr:rowOff>
    </xdr:to>
    <xdr:pic>
      <xdr:nvPicPr>
        <xdr:cNvPr id="3" name="Billede 2">
          <a:extLst>
            <a:ext uri="{FF2B5EF4-FFF2-40B4-BE49-F238E27FC236}">
              <a16:creationId xmlns:a16="http://schemas.microsoft.com/office/drawing/2014/main" id="{CE18B67D-3F1A-4C62-8C44-95CF28A403A3}"/>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517072</xdr:colOff>
      <xdr:row>1</xdr:row>
      <xdr:rowOff>374842</xdr:rowOff>
    </xdr:to>
    <xdr:pic>
      <xdr:nvPicPr>
        <xdr:cNvPr id="3" name="Billede 2">
          <a:extLst>
            <a:ext uri="{FF2B5EF4-FFF2-40B4-BE49-F238E27FC236}">
              <a16:creationId xmlns:a16="http://schemas.microsoft.com/office/drawing/2014/main" id="{5986C2F7-322A-454C-A9BD-99131721ECE6}"/>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517072</xdr:colOff>
      <xdr:row>1</xdr:row>
      <xdr:rowOff>374842</xdr:rowOff>
    </xdr:to>
    <xdr:pic>
      <xdr:nvPicPr>
        <xdr:cNvPr id="3" name="Billede 2">
          <a:extLst>
            <a:ext uri="{FF2B5EF4-FFF2-40B4-BE49-F238E27FC236}">
              <a16:creationId xmlns:a16="http://schemas.microsoft.com/office/drawing/2014/main" id="{9F7D7BA1-4638-456D-AE38-1FB274BB0EBB}"/>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217715</xdr:colOff>
      <xdr:row>1</xdr:row>
      <xdr:rowOff>368492</xdr:rowOff>
    </xdr:to>
    <xdr:pic>
      <xdr:nvPicPr>
        <xdr:cNvPr id="3" name="Billede 2">
          <a:extLst>
            <a:ext uri="{FF2B5EF4-FFF2-40B4-BE49-F238E27FC236}">
              <a16:creationId xmlns:a16="http://schemas.microsoft.com/office/drawing/2014/main" id="{86A5213F-19D4-44D1-91CE-BD6F8B9CFDE8}"/>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217715</xdr:colOff>
      <xdr:row>1</xdr:row>
      <xdr:rowOff>368492</xdr:rowOff>
    </xdr:to>
    <xdr:pic>
      <xdr:nvPicPr>
        <xdr:cNvPr id="3" name="Billede 2">
          <a:extLst>
            <a:ext uri="{FF2B5EF4-FFF2-40B4-BE49-F238E27FC236}">
              <a16:creationId xmlns:a16="http://schemas.microsoft.com/office/drawing/2014/main" id="{8726711E-209D-4AC0-99BD-3A4477CA96C2}"/>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217715</xdr:colOff>
      <xdr:row>1</xdr:row>
      <xdr:rowOff>374842</xdr:rowOff>
    </xdr:to>
    <xdr:pic>
      <xdr:nvPicPr>
        <xdr:cNvPr id="2" name="Billede 1">
          <a:extLst>
            <a:ext uri="{FF2B5EF4-FFF2-40B4-BE49-F238E27FC236}">
              <a16:creationId xmlns:a16="http://schemas.microsoft.com/office/drawing/2014/main" id="{D60F00F7-072C-42CA-A160-248FC461219C}"/>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13606</xdr:colOff>
      <xdr:row>0</xdr:row>
      <xdr:rowOff>27214</xdr:rowOff>
    </xdr:from>
    <xdr:to>
      <xdr:col>7</xdr:col>
      <xdr:colOff>217714</xdr:colOff>
      <xdr:row>1</xdr:row>
      <xdr:rowOff>374840</xdr:rowOff>
    </xdr:to>
    <xdr:pic>
      <xdr:nvPicPr>
        <xdr:cNvPr id="3" name="Billede 2">
          <a:extLst>
            <a:ext uri="{FF2B5EF4-FFF2-40B4-BE49-F238E27FC236}">
              <a16:creationId xmlns:a16="http://schemas.microsoft.com/office/drawing/2014/main" id="{9630972B-41F0-46B8-A50D-3C23D7CD4193}"/>
            </a:ext>
          </a:extLst>
        </xdr:cNvPr>
        <xdr:cNvPicPr>
          <a:picLocks noChangeAspect="1"/>
        </xdr:cNvPicPr>
      </xdr:nvPicPr>
      <xdr:blipFill>
        <a:blip xmlns:r="http://schemas.openxmlformats.org/officeDocument/2006/relationships" r:embed="rId1"/>
        <a:stretch>
          <a:fillRect/>
        </a:stretch>
      </xdr:blipFill>
      <xdr:spPr>
        <a:xfrm>
          <a:off x="2449285" y="27214"/>
          <a:ext cx="2340429" cy="5653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217714</xdr:colOff>
      <xdr:row>1</xdr:row>
      <xdr:rowOff>368492</xdr:rowOff>
    </xdr:to>
    <xdr:pic>
      <xdr:nvPicPr>
        <xdr:cNvPr id="4" name="Billede 3">
          <a:extLst>
            <a:ext uri="{FF2B5EF4-FFF2-40B4-BE49-F238E27FC236}">
              <a16:creationId xmlns:a16="http://schemas.microsoft.com/office/drawing/2014/main" id="{AFE08CD9-487D-4E5D-836A-5C8C54AF86ED}"/>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13607</xdr:colOff>
      <xdr:row>0</xdr:row>
      <xdr:rowOff>27216</xdr:rowOff>
    </xdr:from>
    <xdr:to>
      <xdr:col>7</xdr:col>
      <xdr:colOff>217714</xdr:colOff>
      <xdr:row>1</xdr:row>
      <xdr:rowOff>374842</xdr:rowOff>
    </xdr:to>
    <xdr:pic>
      <xdr:nvPicPr>
        <xdr:cNvPr id="3" name="Billede 2">
          <a:extLst>
            <a:ext uri="{FF2B5EF4-FFF2-40B4-BE49-F238E27FC236}">
              <a16:creationId xmlns:a16="http://schemas.microsoft.com/office/drawing/2014/main" id="{25246F19-7CFB-4820-B75F-BA82FB79D830}"/>
            </a:ext>
          </a:extLst>
        </xdr:cNvPr>
        <xdr:cNvPicPr>
          <a:picLocks noChangeAspect="1"/>
        </xdr:cNvPicPr>
      </xdr:nvPicPr>
      <xdr:blipFill>
        <a:blip xmlns:r="http://schemas.openxmlformats.org/officeDocument/2006/relationships" r:embed="rId1"/>
        <a:stretch>
          <a:fillRect/>
        </a:stretch>
      </xdr:blipFill>
      <xdr:spPr>
        <a:xfrm>
          <a:off x="2449286" y="27216"/>
          <a:ext cx="2340429" cy="565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FA_ADM-PERSONDATA\03%20Arbejdsmapper\Kasper\Tidsregistreringsskema\Skabelon%20-%20Fleksskema%202024.xlsx" TargetMode="External"/><Relationship Id="rId1" Type="http://schemas.openxmlformats.org/officeDocument/2006/relationships/externalLinkPath" Target="https://aarhusuniversitet.sharepoint.com/sites/FAArbejdstidsregistrering/Delte%20dokumenter/General/arbejdsgruppe%20for%20system/Skabelon%20-%20Fleksskem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us"/>
      <sheetName val="Januar"/>
      <sheetName val="Februar"/>
      <sheetName val="Marts"/>
      <sheetName val="April"/>
      <sheetName val="Maj"/>
      <sheetName val="Juni"/>
      <sheetName val="Juli"/>
      <sheetName val="August"/>
      <sheetName val="September"/>
      <sheetName val="Oktober"/>
      <sheetName val="November"/>
      <sheetName val="Decemb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6350E5-8A1F-4283-A8DB-4C416817F233}" name="Tabel_Oversigt" displayName="Tabel_Oversigt" ref="I10:Y11" totalsRowShown="0" headerRowDxfId="73" dataDxfId="72">
  <autoFilter ref="I10:Y11" xr:uid="{986350E5-8A1F-4283-A8DB-4C416817F233}"/>
  <tableColumns count="17">
    <tableColumn id="1" xr3:uid="{E9E7A195-1B4A-483B-95F5-7D4CBA01E8B3}" name="Navn" dataDxfId="71">
      <calculatedColumnFormula>$B$6</calculatedColumnFormula>
    </tableColumn>
    <tableColumn id="2" xr3:uid="{19B6E750-B8ED-4762-85CE-2B1F6566EABD}" name="År" dataDxfId="70">
      <calculatedColumnFormula>$B$5</calculatedColumnFormula>
    </tableColumn>
    <tableColumn id="3" xr3:uid="{6B55AE61-03F7-4F16-AB1B-2C5E7CC6032A}" name="AU-ID" dataDxfId="69">
      <calculatedColumnFormula>$B$7</calculatedColumnFormula>
    </tableColumn>
    <tableColumn id="17" xr3:uid="{D7B9C85E-92E4-41ED-AABB-8D121FF11E1E}" name="Overført fra tidligere perioder" dataDxfId="68">
      <calculatedColumnFormula>$B$8</calculatedColumnFormula>
    </tableColumn>
    <tableColumn id="4" xr3:uid="{34A41D08-6196-497D-B2F4-991F225F9BF4}" name="Forskel" dataDxfId="67">
      <calculatedColumnFormula>$B$9</calculatedColumnFormula>
    </tableColumn>
    <tableColumn id="5" xr3:uid="{DC891771-1E7B-460F-A02F-A7ACE38EA3F3}" name="Januar" dataDxfId="66">
      <calculatedColumnFormula>#REF!</calculatedColumnFormula>
    </tableColumn>
    <tableColumn id="6" xr3:uid="{B8666C2B-D5C2-49F1-8008-9C9CEA5E99A8}" name="Februar" dataDxfId="65">
      <calculatedColumnFormula>#REF!</calculatedColumnFormula>
    </tableColumn>
    <tableColumn id="7" xr3:uid="{9F0A143D-AB89-43EC-80C4-6FE82EB215AD}" name="Marts" dataDxfId="64">
      <calculatedColumnFormula>#REF!</calculatedColumnFormula>
    </tableColumn>
    <tableColumn id="8" xr3:uid="{BDBF02A8-7BDA-49EA-BD8D-DE6F49ED89EE}" name="April" dataDxfId="63">
      <calculatedColumnFormula>#REF!</calculatedColumnFormula>
    </tableColumn>
    <tableColumn id="9" xr3:uid="{9AD077EC-2164-4485-AD55-34087566DF61}" name="Maj" dataDxfId="62">
      <calculatedColumnFormula>#REF!</calculatedColumnFormula>
    </tableColumn>
    <tableColumn id="10" xr3:uid="{60624C36-9EEF-4AF2-9F9B-23D44263EBA3}" name="Juni" dataDxfId="61">
      <calculatedColumnFormula>#REF!</calculatedColumnFormula>
    </tableColumn>
    <tableColumn id="11" xr3:uid="{3A8A1158-A357-4C9A-A7FF-2E54FE1A49D2}" name="Juli" dataDxfId="60">
      <calculatedColumnFormula>$C$14</calculatedColumnFormula>
    </tableColumn>
    <tableColumn id="12" xr3:uid="{F356F568-65B0-4725-9848-9F88C9CBA02A}" name="August" dataDxfId="59">
      <calculatedColumnFormula>$C$15</calculatedColumnFormula>
    </tableColumn>
    <tableColumn id="13" xr3:uid="{B0E1B697-CA2E-4540-B9EA-B1D9CAB07910}" name="September" dataDxfId="58">
      <calculatedColumnFormula>$C$16</calculatedColumnFormula>
    </tableColumn>
    <tableColumn id="14" xr3:uid="{DD03CAB0-78D8-44D3-8ACD-FA4EAB61E38E}" name="Oktober" dataDxfId="57">
      <calculatedColumnFormula>$C$17</calculatedColumnFormula>
    </tableColumn>
    <tableColumn id="15" xr3:uid="{6828FFDC-9233-41EB-B5AC-78DE7F8C4BBC}" name="November" dataDxfId="56">
      <calculatedColumnFormula>$C$18</calculatedColumnFormula>
    </tableColumn>
    <tableColumn id="16" xr3:uid="{A5A63A89-0D8F-4F0E-AE7B-128AE7A53264}" name="December" dataDxfId="55">
      <calculatedColumnFormula>$C$19</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C3E6-5093-4900-9CFE-1EC710506BA4}">
  <sheetPr codeName="Ark1"/>
  <dimension ref="A2:Z30"/>
  <sheetViews>
    <sheetView zoomScale="80" zoomScaleNormal="80" workbookViewId="0">
      <selection activeCell="H43" sqref="H43"/>
    </sheetView>
  </sheetViews>
  <sheetFormatPr defaultRowHeight="15" outlineLevelCol="1" x14ac:dyDescent="0.25"/>
  <cols>
    <col min="1" max="1" width="61.5703125" bestFit="1" customWidth="1"/>
    <col min="2" max="2" width="21.85546875" bestFit="1" customWidth="1"/>
    <col min="3" max="3" width="18.85546875" customWidth="1"/>
    <col min="4" max="4" width="17.85546875" customWidth="1"/>
    <col min="5" max="5" width="18.28515625" bestFit="1" customWidth="1"/>
    <col min="6" max="6" width="12.42578125" bestFit="1" customWidth="1"/>
    <col min="9" max="9" width="9.140625" hidden="1" customWidth="1" outlineLevel="1"/>
    <col min="10" max="17" width="14" hidden="1" customWidth="1" outlineLevel="1"/>
    <col min="18" max="20" width="9.140625" hidden="1" customWidth="1" outlineLevel="1"/>
    <col min="21" max="21" width="9.5703125" hidden="1" customWidth="1" outlineLevel="1"/>
    <col min="22" max="22" width="13.7109375" hidden="1" customWidth="1" outlineLevel="1"/>
    <col min="23" max="23" width="10.85546875" hidden="1" customWidth="1" outlineLevel="1"/>
    <col min="24" max="24" width="13.140625" hidden="1" customWidth="1" outlineLevel="1"/>
    <col min="25" max="25" width="13" hidden="1" customWidth="1" outlineLevel="1"/>
    <col min="26" max="26" width="9.140625" collapsed="1"/>
  </cols>
  <sheetData>
    <row r="2" spans="1:25" ht="15.75" x14ac:dyDescent="0.25">
      <c r="A2" s="81"/>
      <c r="B2" s="81" t="s">
        <v>80</v>
      </c>
      <c r="C2" s="72"/>
      <c r="D2" s="72"/>
      <c r="E2" s="72"/>
      <c r="F2" s="72"/>
      <c r="G2" s="72"/>
      <c r="H2" s="72"/>
      <c r="I2" s="72"/>
      <c r="J2" s="72"/>
      <c r="K2" s="72"/>
      <c r="L2" s="72"/>
      <c r="M2" s="72"/>
      <c r="N2" s="72"/>
      <c r="O2" s="72"/>
      <c r="P2" s="72"/>
      <c r="Q2" s="72"/>
    </row>
    <row r="3" spans="1:25" ht="16.5" x14ac:dyDescent="0.3">
      <c r="A3" s="80" t="s">
        <v>70</v>
      </c>
      <c r="B3" s="64">
        <v>0</v>
      </c>
      <c r="C3" s="72"/>
      <c r="D3" s="72"/>
      <c r="E3" s="72"/>
      <c r="F3" s="72"/>
      <c r="G3" s="72"/>
      <c r="H3" s="72"/>
      <c r="I3" s="72"/>
      <c r="J3" s="72"/>
      <c r="K3" s="72"/>
      <c r="L3" s="72"/>
      <c r="M3" s="72"/>
      <c r="N3" s="72"/>
      <c r="O3" s="72"/>
      <c r="P3" s="72"/>
      <c r="Q3" s="72"/>
    </row>
    <row r="4" spans="1:25" ht="16.5" x14ac:dyDescent="0.3">
      <c r="A4" s="80" t="s">
        <v>71</v>
      </c>
      <c r="B4" s="64">
        <v>0</v>
      </c>
      <c r="C4" s="72"/>
      <c r="G4" s="72"/>
      <c r="H4" s="72"/>
      <c r="I4" s="72"/>
      <c r="J4" s="72"/>
      <c r="K4" s="72"/>
      <c r="L4" s="72"/>
      <c r="M4" s="72"/>
      <c r="N4" s="72"/>
      <c r="O4" s="72"/>
      <c r="P4" s="72"/>
      <c r="Q4" s="72"/>
    </row>
    <row r="5" spans="1:25" ht="16.5" x14ac:dyDescent="0.3">
      <c r="A5" s="70" t="s">
        <v>72</v>
      </c>
      <c r="B5" s="65">
        <v>2024</v>
      </c>
      <c r="C5" s="72"/>
      <c r="G5" s="72"/>
      <c r="H5" s="72"/>
      <c r="I5" s="72"/>
    </row>
    <row r="6" spans="1:25" ht="16.5" x14ac:dyDescent="0.3">
      <c r="A6" s="70" t="s">
        <v>73</v>
      </c>
      <c r="B6" s="65"/>
      <c r="C6" s="79"/>
      <c r="G6" s="72"/>
      <c r="H6" s="72"/>
      <c r="I6" s="72"/>
    </row>
    <row r="7" spans="1:25" ht="16.5" x14ac:dyDescent="0.3">
      <c r="A7" s="70" t="s">
        <v>74</v>
      </c>
      <c r="B7" s="66"/>
      <c r="C7" s="72"/>
      <c r="G7" s="72"/>
      <c r="H7" s="72"/>
      <c r="I7" s="72"/>
    </row>
    <row r="8" spans="1:25" ht="16.5" x14ac:dyDescent="0.3">
      <c r="A8" s="70" t="s">
        <v>75</v>
      </c>
      <c r="B8" s="67"/>
      <c r="C8" s="72"/>
      <c r="G8" s="72"/>
      <c r="H8" s="72"/>
      <c r="I8" s="72"/>
    </row>
    <row r="9" spans="1:25" ht="16.5" x14ac:dyDescent="0.3">
      <c r="A9" s="70" t="s">
        <v>76</v>
      </c>
      <c r="B9" s="71">
        <f>SUM(C14:C19)+B8</f>
        <v>0</v>
      </c>
      <c r="C9" s="71">
        <f>SUM(D14:D19)+$B$8</f>
        <v>0</v>
      </c>
      <c r="G9" s="72"/>
      <c r="H9" s="72"/>
      <c r="I9" s="72"/>
    </row>
    <row r="10" spans="1:25" ht="15.75" x14ac:dyDescent="0.25">
      <c r="D10" s="72"/>
      <c r="F10" s="72"/>
      <c r="G10" s="72"/>
      <c r="H10" s="72"/>
      <c r="I10" s="72" t="s">
        <v>1</v>
      </c>
      <c r="J10" s="72" t="s">
        <v>0</v>
      </c>
      <c r="K10" s="72" t="s">
        <v>2</v>
      </c>
      <c r="L10" s="72" t="s">
        <v>3</v>
      </c>
      <c r="M10" s="72" t="s">
        <v>4</v>
      </c>
      <c r="N10" s="72" t="s">
        <v>5</v>
      </c>
      <c r="O10" s="72" t="s">
        <v>6</v>
      </c>
      <c r="P10" s="72" t="s">
        <v>7</v>
      </c>
      <c r="Q10" s="72" t="s">
        <v>8</v>
      </c>
      <c r="R10" s="72" t="s">
        <v>9</v>
      </c>
      <c r="S10" s="72" t="s">
        <v>10</v>
      </c>
      <c r="T10" s="72" t="s">
        <v>11</v>
      </c>
      <c r="U10" s="72" t="s">
        <v>12</v>
      </c>
      <c r="V10" s="72" t="s">
        <v>13</v>
      </c>
      <c r="W10" s="72" t="s">
        <v>14</v>
      </c>
      <c r="X10" s="72" t="s">
        <v>15</v>
      </c>
      <c r="Y10" s="72" t="s">
        <v>16</v>
      </c>
    </row>
    <row r="11" spans="1:25" ht="15.75" x14ac:dyDescent="0.25">
      <c r="G11" s="72"/>
      <c r="H11" s="72"/>
      <c r="I11" s="72">
        <f t="shared" ref="I11" si="0">$B$6</f>
        <v>0</v>
      </c>
      <c r="J11" s="72">
        <f t="shared" ref="J11" si="1">$B$5</f>
        <v>2024</v>
      </c>
      <c r="K11" s="72">
        <f t="shared" ref="K11" si="2">$B$7</f>
        <v>0</v>
      </c>
      <c r="L11" s="73">
        <f>$B$8</f>
        <v>0</v>
      </c>
      <c r="M11" s="6">
        <f>$B$9</f>
        <v>0</v>
      </c>
      <c r="N11" s="73" t="e">
        <f>#REF!</f>
        <v>#REF!</v>
      </c>
      <c r="O11" s="73" t="e">
        <f>#REF!</f>
        <v>#REF!</v>
      </c>
      <c r="P11" s="73" t="e">
        <f>#REF!</f>
        <v>#REF!</v>
      </c>
      <c r="Q11" s="73" t="e">
        <f>#REF!</f>
        <v>#REF!</v>
      </c>
      <c r="R11" s="73" t="e">
        <f>#REF!</f>
        <v>#REF!</v>
      </c>
      <c r="S11" s="73" t="e">
        <f>#REF!</f>
        <v>#REF!</v>
      </c>
      <c r="T11" s="73">
        <f>$C$14</f>
        <v>0</v>
      </c>
      <c r="U11" s="73">
        <f>$C$15</f>
        <v>0</v>
      </c>
      <c r="V11" s="73">
        <f>$C$16</f>
        <v>0</v>
      </c>
      <c r="W11" s="73">
        <f>$C$17</f>
        <v>0</v>
      </c>
      <c r="X11" s="73">
        <f>$C$18</f>
        <v>0</v>
      </c>
      <c r="Y11" s="73">
        <f>$C$19</f>
        <v>0</v>
      </c>
    </row>
    <row r="12" spans="1:25" ht="15.75" x14ac:dyDescent="0.25">
      <c r="G12" s="72"/>
      <c r="H12" s="72"/>
      <c r="I12" s="72"/>
      <c r="J12" s="72"/>
      <c r="K12" s="72"/>
      <c r="L12" s="72"/>
      <c r="M12" s="72"/>
      <c r="N12" s="72"/>
      <c r="O12" s="72"/>
      <c r="P12" s="72"/>
      <c r="Q12" s="72"/>
      <c r="R12" s="72"/>
      <c r="S12" s="72"/>
      <c r="T12" s="72"/>
      <c r="U12" s="72"/>
      <c r="V12" s="72"/>
      <c r="W12" s="72"/>
      <c r="X12" s="72"/>
      <c r="Y12" s="72"/>
    </row>
    <row r="13" spans="1:25" ht="16.5" x14ac:dyDescent="0.3">
      <c r="A13" s="70" t="s">
        <v>81</v>
      </c>
      <c r="B13" s="70" t="s">
        <v>77</v>
      </c>
      <c r="C13" s="70" t="s">
        <v>78</v>
      </c>
      <c r="D13" s="70" t="s">
        <v>79</v>
      </c>
      <c r="G13" s="72"/>
      <c r="H13" s="72"/>
      <c r="I13" s="72"/>
    </row>
    <row r="14" spans="1:25" ht="16.5" x14ac:dyDescent="0.3">
      <c r="A14" s="74" t="str">
        <f>July!B4</f>
        <v>July</v>
      </c>
      <c r="B14" s="75">
        <f>July!$B$1</f>
        <v>37</v>
      </c>
      <c r="C14" s="71">
        <f>July!P38</f>
        <v>0</v>
      </c>
      <c r="D14" s="76" t="str">
        <f t="shared" ref="D14:D19" si="3">IF(C14&lt;0,"-"&amp;TEXT(ABS(C14/24),"[TT]:mm"),TEXT(C14/24,"[TT]:mm"))</f>
        <v>00:00</v>
      </c>
      <c r="G14" s="72"/>
      <c r="H14" s="72"/>
      <c r="I14" s="72"/>
      <c r="J14" s="72"/>
      <c r="K14" s="72"/>
      <c r="L14" s="72"/>
      <c r="M14" s="72"/>
      <c r="N14" s="72"/>
      <c r="O14" s="72"/>
      <c r="P14" s="72"/>
      <c r="Q14" s="72"/>
    </row>
    <row r="15" spans="1:25" ht="16.5" x14ac:dyDescent="0.3">
      <c r="A15" s="74" t="str">
        <f>August!B4</f>
        <v>August</v>
      </c>
      <c r="B15" s="75">
        <f>August!$B$1</f>
        <v>37</v>
      </c>
      <c r="C15" s="71">
        <f>August!P38</f>
        <v>0</v>
      </c>
      <c r="D15" s="76" t="str">
        <f t="shared" si="3"/>
        <v>00:00</v>
      </c>
      <c r="G15" s="72"/>
      <c r="H15" s="72"/>
      <c r="I15" s="72"/>
      <c r="J15" s="72"/>
      <c r="K15" s="72"/>
      <c r="L15" s="72"/>
      <c r="M15" s="72"/>
      <c r="N15" s="72"/>
      <c r="O15" s="72"/>
      <c r="P15" s="72"/>
      <c r="Q15" s="72"/>
    </row>
    <row r="16" spans="1:25" ht="16.5" x14ac:dyDescent="0.3">
      <c r="A16" s="74" t="str">
        <f>September!B4</f>
        <v>September</v>
      </c>
      <c r="B16" s="75">
        <f>September!$B$1</f>
        <v>37</v>
      </c>
      <c r="C16" s="71">
        <f>September!P37</f>
        <v>0</v>
      </c>
      <c r="D16" s="76" t="str">
        <f t="shared" si="3"/>
        <v>00:00</v>
      </c>
      <c r="G16" s="72"/>
      <c r="H16" s="72"/>
      <c r="I16" s="72"/>
      <c r="J16" s="72"/>
      <c r="K16" s="72"/>
      <c r="L16" s="72"/>
      <c r="M16" s="72"/>
      <c r="N16" s="72"/>
      <c r="O16" s="72"/>
      <c r="P16" s="72"/>
      <c r="Q16" s="72"/>
    </row>
    <row r="17" spans="1:17" ht="16.5" x14ac:dyDescent="0.3">
      <c r="A17" s="74" t="str">
        <f>October!B4</f>
        <v>October</v>
      </c>
      <c r="B17" s="75">
        <f>October!$B$1</f>
        <v>37</v>
      </c>
      <c r="C17" s="71">
        <f>October!P38</f>
        <v>0</v>
      </c>
      <c r="D17" s="76" t="str">
        <f t="shared" si="3"/>
        <v>00:00</v>
      </c>
      <c r="G17" s="72"/>
      <c r="H17" s="72"/>
      <c r="I17" s="72"/>
      <c r="J17" s="72"/>
      <c r="K17" s="72"/>
      <c r="L17" s="72"/>
      <c r="M17" s="72"/>
      <c r="N17" s="72"/>
      <c r="O17" s="72"/>
      <c r="P17" s="72"/>
      <c r="Q17" s="72"/>
    </row>
    <row r="18" spans="1:17" ht="16.5" x14ac:dyDescent="0.3">
      <c r="A18" s="74" t="str">
        <f>November!B4</f>
        <v>November</v>
      </c>
      <c r="B18" s="75">
        <f>November!$B$1</f>
        <v>37</v>
      </c>
      <c r="C18" s="71">
        <f>November!P37</f>
        <v>0</v>
      </c>
      <c r="D18" s="76" t="str">
        <f t="shared" si="3"/>
        <v>00:00</v>
      </c>
      <c r="E18" s="72"/>
      <c r="F18" s="73"/>
      <c r="G18" s="72"/>
      <c r="I18" s="72"/>
      <c r="J18" s="72"/>
      <c r="K18" s="72"/>
      <c r="L18" s="72"/>
      <c r="M18" s="72"/>
      <c r="N18" s="72"/>
      <c r="O18" s="72"/>
      <c r="P18" s="72"/>
      <c r="Q18" s="72"/>
    </row>
    <row r="19" spans="1:17" ht="16.5" x14ac:dyDescent="0.3">
      <c r="A19" s="74" t="str">
        <f>December!B4</f>
        <v>December</v>
      </c>
      <c r="B19" s="75">
        <f>December!$B$1</f>
        <v>37</v>
      </c>
      <c r="C19" s="71">
        <f>December!P38</f>
        <v>0</v>
      </c>
      <c r="D19" s="76" t="str">
        <f t="shared" si="3"/>
        <v>00:00</v>
      </c>
      <c r="E19" s="72"/>
      <c r="F19" s="72"/>
      <c r="G19" s="72"/>
      <c r="I19" s="72"/>
      <c r="J19" s="72"/>
      <c r="K19" s="72"/>
      <c r="L19" s="72"/>
      <c r="M19" s="72"/>
      <c r="N19" s="72"/>
      <c r="O19" s="72"/>
      <c r="P19" s="72"/>
      <c r="Q19" s="72"/>
    </row>
    <row r="20" spans="1:17" ht="16.5" x14ac:dyDescent="0.3">
      <c r="A20" s="77" t="s">
        <v>68</v>
      </c>
      <c r="B20" s="78" t="s">
        <v>69</v>
      </c>
      <c r="C20" s="71">
        <f>SUM(C14:C19)</f>
        <v>0</v>
      </c>
      <c r="D20" s="76" t="str">
        <f>IF(C20&lt;0,"-"&amp;TEXT(ABS(C20/24),"[tt]:mm"),TEXT(C20/24,"[tt]:mm"))</f>
        <v>00:00</v>
      </c>
      <c r="E20" s="72"/>
      <c r="F20" s="72"/>
      <c r="G20" s="72"/>
      <c r="H20" s="72"/>
      <c r="I20" s="72"/>
    </row>
    <row r="21" spans="1:17" ht="15.75" x14ac:dyDescent="0.25">
      <c r="A21" s="72"/>
      <c r="E21" s="72"/>
      <c r="F21" s="72"/>
      <c r="G21" s="72"/>
      <c r="H21" s="72"/>
      <c r="I21" s="72"/>
    </row>
    <row r="22" spans="1:17" ht="15.75" x14ac:dyDescent="0.25">
      <c r="A22" s="72"/>
      <c r="E22" s="72"/>
      <c r="F22" s="72"/>
      <c r="G22" s="72"/>
      <c r="H22" s="72"/>
      <c r="I22" s="72"/>
    </row>
    <row r="23" spans="1:17" ht="15.75" x14ac:dyDescent="0.25">
      <c r="A23" s="72"/>
      <c r="E23" s="72"/>
      <c r="F23" s="72"/>
      <c r="G23" s="72"/>
      <c r="H23" s="72"/>
      <c r="I23" s="72"/>
    </row>
    <row r="24" spans="1:17" ht="15.75" x14ac:dyDescent="0.25">
      <c r="A24" s="72"/>
      <c r="E24" s="79"/>
      <c r="F24" s="72"/>
      <c r="G24" s="72"/>
      <c r="H24" s="72"/>
      <c r="I24" s="72"/>
    </row>
    <row r="25" spans="1:17" ht="15.75" x14ac:dyDescent="0.25">
      <c r="A25" s="72"/>
      <c r="B25" s="72"/>
      <c r="C25" s="72"/>
      <c r="D25" s="72"/>
      <c r="E25" s="72"/>
      <c r="F25" s="72"/>
      <c r="G25" s="72"/>
      <c r="H25" s="72"/>
      <c r="I25" s="72"/>
    </row>
    <row r="28" spans="1:17" ht="15.75" x14ac:dyDescent="0.25">
      <c r="H28" s="72"/>
    </row>
    <row r="29" spans="1:17" ht="15.75" x14ac:dyDescent="0.25">
      <c r="H29" s="72"/>
    </row>
    <row r="30" spans="1:17" ht="15.75" x14ac:dyDescent="0.25">
      <c r="H30" s="72"/>
    </row>
  </sheetData>
  <sheetProtection algorithmName="SHA-512" hashValue="MMBOgWq/FQYHD1ILjjOc3PuQKIfiR2jmliwtWBBNUkxprS6MzMachy00PEqdzMUV4qK9/tGoE9NkPvxd3CYbZw==" saltValue="gHbwKFAIybag5uWMrJu7Uw==" spinCount="100000" sheet="1" objects="1" scenarios="1"/>
  <phoneticPr fontId="1" type="noConversion"/>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FA37-17BA-4B00-9339-BF9ECA3B8A20}">
  <sheetPr codeName="Ark6"/>
  <dimension ref="A1:X38"/>
  <sheetViews>
    <sheetView zoomScale="70" zoomScaleNormal="70" workbookViewId="0">
      <selection activeCell="K7" sqref="K7"/>
    </sheetView>
  </sheetViews>
  <sheetFormatPr defaultRowHeight="15" outlineLevelCol="1" x14ac:dyDescent="0.25"/>
  <cols>
    <col min="1" max="1" width="11.28515625" customWidth="1"/>
    <col min="2" max="2" width="14.140625" customWidth="1"/>
    <col min="3" max="3" width="11.28515625" customWidth="1"/>
    <col min="4" max="4" width="15" hidden="1" customWidth="1"/>
    <col min="5" max="5" width="12.85546875" hidden="1" customWidth="1"/>
    <col min="6" max="6" width="11.28515625" customWidth="1"/>
    <col min="7" max="7" width="16.28515625" bestFit="1" customWidth="1"/>
    <col min="8" max="8" width="17.85546875" customWidth="1"/>
    <col min="9" max="11" width="11.28515625" customWidth="1"/>
    <col min="12" max="13" width="11.140625" hidden="1" customWidth="1" outlineLevel="1"/>
    <col min="14" max="14" width="90.7109375" hidden="1" customWidth="1" outlineLevel="1"/>
    <col min="15" max="15" width="27.28515625" hidden="1" customWidth="1" outlineLevel="1"/>
    <col min="16" max="16" width="12" hidden="1" customWidth="1" outlineLevel="1"/>
    <col min="17" max="17" width="14.14062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36" t="s">
        <v>18</v>
      </c>
      <c r="B1" s="37">
        <v>37</v>
      </c>
      <c r="Q1" s="45" t="s">
        <v>19</v>
      </c>
      <c r="R1" s="46" t="s">
        <v>20</v>
      </c>
    </row>
    <row r="2" spans="1:24" ht="31.5" x14ac:dyDescent="0.25">
      <c r="A2" s="34" t="s">
        <v>4</v>
      </c>
      <c r="B2" s="59">
        <f>SUM(P7:P37)</f>
        <v>0</v>
      </c>
      <c r="Q2" s="47" t="s">
        <v>21</v>
      </c>
      <c r="R2" s="49" t="s">
        <v>22</v>
      </c>
    </row>
    <row r="3" spans="1:24" ht="63" x14ac:dyDescent="0.25">
      <c r="A3" s="39" t="s">
        <v>0</v>
      </c>
      <c r="B3" s="40">
        <f>B7</f>
        <v>45292</v>
      </c>
      <c r="Q3" s="48" t="s">
        <v>23</v>
      </c>
      <c r="R3" s="61" t="s">
        <v>24</v>
      </c>
    </row>
    <row r="4" spans="1:24" ht="16.5" thickBot="1" x14ac:dyDescent="0.3">
      <c r="A4" s="35" t="s">
        <v>17</v>
      </c>
      <c r="B4" s="41">
        <f>B7</f>
        <v>45292</v>
      </c>
      <c r="Q4" s="44" t="s">
        <v>25</v>
      </c>
      <c r="R4" s="43" t="s">
        <v>26</v>
      </c>
    </row>
    <row r="5" spans="1:24" ht="15.75" thickBot="1" x14ac:dyDescent="0.3"/>
    <row r="6" spans="1:24" ht="21.75" customHeight="1" thickBot="1" x14ac:dyDescent="0.3">
      <c r="A6" s="9" t="s">
        <v>27</v>
      </c>
      <c r="B6" s="10" t="s">
        <v>28</v>
      </c>
      <c r="C6" s="10" t="s">
        <v>29</v>
      </c>
      <c r="D6" s="10" t="s">
        <v>30</v>
      </c>
      <c r="E6" s="10" t="s">
        <v>31</v>
      </c>
      <c r="F6" s="10" t="s">
        <v>19</v>
      </c>
      <c r="G6" s="10" t="s">
        <v>32</v>
      </c>
      <c r="H6" s="10" t="s">
        <v>33</v>
      </c>
      <c r="I6" s="11" t="s">
        <v>34</v>
      </c>
      <c r="J6" s="11" t="s">
        <v>35</v>
      </c>
      <c r="K6" s="10" t="s">
        <v>36</v>
      </c>
      <c r="L6" s="55" t="s">
        <v>37</v>
      </c>
      <c r="M6" s="56" t="s">
        <v>38</v>
      </c>
      <c r="N6" s="56" t="s">
        <v>39</v>
      </c>
      <c r="O6" s="56"/>
      <c r="Q6" s="10" t="s">
        <v>40</v>
      </c>
      <c r="U6" t="s">
        <v>41</v>
      </c>
      <c r="V6">
        <v>5</v>
      </c>
    </row>
    <row r="7" spans="1:24" ht="15.75" x14ac:dyDescent="0.25">
      <c r="A7" s="12">
        <f>WEEKNUM($B7,21)</f>
        <v>1</v>
      </c>
      <c r="B7" s="13">
        <f>DATE(Masterdata!$B$5,1,1)</f>
        <v>45292</v>
      </c>
      <c r="C7" s="14" t="str" cm="1">
        <f t="array" ref="C7">_xlfn.SWITCH(WEEKDAY($D7, 2), 1, "mandag", 2, "tirsdag", 3, "onsdag", 4, "torsdag", 5, "fredag", 6, "lørdag", 7, "søndag")</f>
        <v>mandag</v>
      </c>
      <c r="D7">
        <f t="shared" ref="D7:D17" si="0">WEEKDAY($B7, 2)+1</f>
        <v>2</v>
      </c>
      <c r="E7" s="42">
        <f>$B7</f>
        <v>45292</v>
      </c>
      <c r="F7" s="15" t="s">
        <v>23</v>
      </c>
      <c r="G7" s="17" t="str" cm="1">
        <f t="array" ref="G7">IFERROR(IF(OR(AND(Masterdata!$B$4&lt;&gt;DATE(1900,1,0), Masterdata!$B$4&lt;$E7), AND(Masterdata!$B$3&lt;&gt;DATE(1900,1,0), Masterdata!$B$3&gt;$E7)), IF($H7&gt;TIME(0,0,0), "tast i næste felt", 0), IF($H7&gt;TIME(0,0,0), "Tast i næste felt", IF($H7&gt;0, 0, _xlfn.IFS($C7="lørdag", 0, $C7="søndag", 0, $F7="N", $V$8)))), "Tast i næste felt")</f>
        <v>Tast i næste felt</v>
      </c>
      <c r="H7" s="17">
        <v>0.30833333333333335</v>
      </c>
      <c r="I7" s="16"/>
      <c r="J7" s="16">
        <v>0</v>
      </c>
      <c r="K7" s="60" t="str">
        <f>IF(OR(AND(Masterdata!$B$4&lt;&gt;DATE(1900,1,0),Masterdata!$B$4&lt;$E7),AND(Masterdata!$B$3&lt;&gt;DATE(1900,1,0),Masterdata!$B$3&gt;$E7)), "0:00", IF($H7&gt;TIME(0,0,0), IF($H7-$V$8&gt;=0, TEXT($H7-$V$8, "[t]:mm"), "-"&amp;TEXT(ABS($H7-$V$8), "[t]:mm")), IFERROR(IF($G7-$V$8=0, IF($G7-$V$8&gt;=0, TEXT($G7-$V$8, "[t]:mm"), "-"&amp;TEXT(ABS($G7-$V$8), "[t]:mm")), IF($J7-$I7&gt;=0, TEXT($J7-$I7, "[t]:mm"), "-"&amp;TEXT(ABS($J7-$I7), "[t]:mm"))), IF($J7-$I7-$V$8&gt;=0, TEXT($J7-$I7-$V$8, "[t]:mm"), "-"&amp;TEXT(ABS($J7-$I7-$V$8), "[t]:mm")))))</f>
        <v>0:00</v>
      </c>
      <c r="L7" s="54" t="str">
        <f>LEFT(K7,1)</f>
        <v>0</v>
      </c>
      <c r="M7" s="58" t="str">
        <f>IF($L7="-",LEFT($K7,2),LEFT($K7,1))</f>
        <v>0</v>
      </c>
      <c r="N7" s="51" t="str">
        <f>IF($L7="-",MID($K7,4,2),MID($K7,3,2))</f>
        <v>00</v>
      </c>
      <c r="O7" s="57">
        <f>N7/60</f>
        <v>0</v>
      </c>
      <c r="P7" s="6">
        <f>IF(L7="-",M7-O7,M7+O7)</f>
        <v>0</v>
      </c>
      <c r="Q7" s="62"/>
      <c r="R7" s="53"/>
      <c r="U7" t="s">
        <v>42</v>
      </c>
      <c r="V7" s="3">
        <f>B1/V6</f>
        <v>7.4</v>
      </c>
      <c r="W7">
        <v>0</v>
      </c>
      <c r="X7" s="8"/>
    </row>
    <row r="8" spans="1:24" ht="15.75" x14ac:dyDescent="0.25">
      <c r="A8" s="12">
        <f t="shared" ref="A8:A37" si="1">WEEKNUM($B8,21)</f>
        <v>1</v>
      </c>
      <c r="B8" s="13">
        <f>B7+1</f>
        <v>45293</v>
      </c>
      <c r="C8" s="14" t="str" cm="1">
        <f t="array" ref="C8">_xlfn.SWITCH(WEEKDAY($D8, 2), 1, "mandag", 2, "tirsdag", 3, "onsdag", 4, "torsdag", 5, "fredag", 6, "lørdag", 7, "søndag")</f>
        <v>tirsdag</v>
      </c>
      <c r="D8">
        <f t="shared" si="0"/>
        <v>3</v>
      </c>
      <c r="E8" s="42">
        <f t="shared" ref="E8:E37" si="2">$B8</f>
        <v>45293</v>
      </c>
      <c r="F8" s="15" t="s">
        <v>21</v>
      </c>
      <c r="G8" s="17" cm="1">
        <f t="array" ref="G8">IFERROR(IF(OR(AND(Masterdata!$B$4&lt;&gt;DATE(1900,1,0), Masterdata!$B$4&lt;$E8), AND(Masterdata!$B$3&lt;&gt;DATE(1900,1,0), Masterdata!$B$3&gt;$E8)), IF($H8&gt;TIME(0,0,0), "tast i næste felt", 0), IF($H8&gt;TIME(0,0,0), "Tast i næste felt", IF($H8&gt;0, 0, _xlfn.IFS($C8="lørdag", 0, $C8="søndag", 0, $F8="N", $V$8)))), "Tast i næste felt")</f>
        <v>0.30833333333333335</v>
      </c>
      <c r="H8" s="17"/>
      <c r="I8" s="16">
        <v>0</v>
      </c>
      <c r="J8" s="16">
        <v>0</v>
      </c>
      <c r="K8" s="50" t="str">
        <f>IF(OR(AND(Masterdata!$B$4&lt;&gt;DATE(1900,1,0),Masterdata!$B$4&lt;$E8),AND(Masterdata!$B$3&lt;&gt;DATE(1900,1,0),Masterdata!$B$3&gt;$E8)), "0:00", IF($H8&gt;TIME(0,0,0), IF($H8-$V$8&gt;=0, TEXT($H8-$V$8, "[t]:mm"), "-"&amp;TEXT(ABS($H8-$V$8), "[t]:mm")), IFERROR(IF($G8-$V$8=0, IF($G8-$V$8&gt;=0, TEXT($G8-$V$8, "[t]:mm"), "-"&amp;TEXT(ABS($G8-$V$8), "[t]:mm")), IF($J8-$I8&gt;=0, TEXT($J8-$I8, "[t]:mm"), "-"&amp;TEXT(ABS($J8-$I8), "[t]:mm"))), IF($J8-$I8-$V$8&gt;=0, TEXT($J8-$I8-$V$8, "[t]:mm"), "-"&amp;TEXT(ABS($J8-$I8-$V$8), "[t]:mm")))))</f>
        <v>0:00</v>
      </c>
      <c r="L8" s="54" t="str">
        <f t="shared" ref="L8:L37" si="3">LEFT(K8,1)</f>
        <v>0</v>
      </c>
      <c r="M8" s="58" t="str">
        <f t="shared" ref="M8:M37" si="4">IF($L8="-",LEFT($K8,2),LEFT($K8,1))</f>
        <v>0</v>
      </c>
      <c r="N8" s="51" t="str">
        <f t="shared" ref="N8:N37" si="5">IF($L8="-",MID($K8,4,2),MID($K8,3,2))</f>
        <v>00</v>
      </c>
      <c r="O8" s="57">
        <f t="shared" ref="O8:O37" si="6">N8/60</f>
        <v>0</v>
      </c>
      <c r="P8" s="6">
        <f t="shared" ref="P8:P37" si="7">IF(L8="-",M8-O8,M8+O8)</f>
        <v>0</v>
      </c>
      <c r="Q8" s="63"/>
      <c r="U8" t="s">
        <v>43</v>
      </c>
      <c r="V8" s="8">
        <f>V7/24</f>
        <v>0.30833333333333335</v>
      </c>
    </row>
    <row r="9" spans="1:24" ht="15.75" x14ac:dyDescent="0.25">
      <c r="A9" s="12">
        <f t="shared" si="1"/>
        <v>1</v>
      </c>
      <c r="B9" s="13">
        <f t="shared" ref="B9:B35" si="8">B8+1</f>
        <v>45294</v>
      </c>
      <c r="C9" s="14" t="str" cm="1">
        <f t="array" ref="C9">_xlfn.SWITCH(WEEKDAY($D9, 2), 1, "mandag", 2, "tirsdag", 3, "onsdag", 4, "torsdag", 5, "fredag", 6, "lørdag", 7, "søndag")</f>
        <v>onsdag</v>
      </c>
      <c r="D9">
        <f t="shared" si="0"/>
        <v>4</v>
      </c>
      <c r="E9" s="42">
        <f t="shared" si="2"/>
        <v>45294</v>
      </c>
      <c r="F9" s="15" t="s">
        <v>21</v>
      </c>
      <c r="G9" s="17" cm="1">
        <f t="array" ref="G9">IFERROR(IF(OR(AND(Masterdata!$B$4&lt;&gt;DATE(1900,1,0), Masterdata!$B$4&lt;$E9), AND(Masterdata!$B$3&lt;&gt;DATE(1900,1,0), Masterdata!$B$3&gt;$E9)), IF($H9&gt;TIME(0,0,0), "tast i næste felt", 0), IF($H9&gt;TIME(0,0,0), "Tast i næste felt", IF($H9&gt;0, 0, _xlfn.IFS($C9="lørdag", 0, $C9="søndag", 0, $F9="N", $V$8)))), "Tast i næste felt")</f>
        <v>0.30833333333333335</v>
      </c>
      <c r="H9" s="17"/>
      <c r="I9" s="16">
        <v>0</v>
      </c>
      <c r="J9" s="16">
        <v>0</v>
      </c>
      <c r="K9" s="50" t="str">
        <f>IF(OR(AND(Masterdata!$B$4&lt;&gt;DATE(1900,1,0),Masterdata!$B$4&lt;$E9),AND(Masterdata!$B$3&lt;&gt;DATE(1900,1,0),Masterdata!$B$3&gt;$E9)), "0:00", IF($H9&gt;TIME(0,0,0), IF($H9-$V$8&gt;=0, TEXT($H9-$V$8, "[t]:mm"), "-"&amp;TEXT(ABS($H9-$V$8), "[t]:mm")), IFERROR(IF($G9-$V$8=0, IF($G9-$V$8&gt;=0, TEXT($G9-$V$8, "[t]:mm"), "-"&amp;TEXT(ABS($G9-$V$8), "[t]:mm")), IF($J9-$I9&gt;=0, TEXT($J9-$I9, "[t]:mm"), "-"&amp;TEXT(ABS($J9-$I9), "[t]:mm"))), IF($J9-$I9-$V$8&gt;=0, TEXT($J9-$I9-$V$8, "[t]:mm"), "-"&amp;TEXT(ABS($J9-$I9-$V$8), "[t]:mm")))))</f>
        <v>0:00</v>
      </c>
      <c r="L9" s="54" t="str">
        <f t="shared" si="3"/>
        <v>0</v>
      </c>
      <c r="M9" s="58" t="str">
        <f t="shared" si="4"/>
        <v>0</v>
      </c>
      <c r="N9" s="51" t="str">
        <f t="shared" si="5"/>
        <v>00</v>
      </c>
      <c r="O9" s="57">
        <f t="shared" si="6"/>
        <v>0</v>
      </c>
      <c r="P9" s="6">
        <f t="shared" si="7"/>
        <v>0</v>
      </c>
      <c r="Q9" s="63"/>
      <c r="S9" t="s">
        <v>21</v>
      </c>
      <c r="T9" t="s">
        <v>44</v>
      </c>
      <c r="U9" t="s">
        <v>45</v>
      </c>
      <c r="V9" s="6">
        <f>(B1/37)*160.33</f>
        <v>160.33000000000001</v>
      </c>
    </row>
    <row r="10" spans="1:24" ht="15.75" x14ac:dyDescent="0.25">
      <c r="A10" s="12">
        <f t="shared" si="1"/>
        <v>1</v>
      </c>
      <c r="B10" s="13">
        <f t="shared" si="8"/>
        <v>45295</v>
      </c>
      <c r="C10" s="14" t="str" cm="1">
        <f t="array" ref="C10">_xlfn.SWITCH(WEEKDAY($D10, 2), 1, "mandag", 2, "tirsdag", 3, "onsdag", 4, "torsdag", 5, "fredag", 6, "lørdag", 7, "søndag")</f>
        <v>torsdag</v>
      </c>
      <c r="D10">
        <f t="shared" si="0"/>
        <v>5</v>
      </c>
      <c r="E10" s="42">
        <f t="shared" si="2"/>
        <v>45295</v>
      </c>
      <c r="F10" s="15" t="s">
        <v>21</v>
      </c>
      <c r="G10" s="17" cm="1">
        <f t="array" ref="G10">IFERROR(IF(OR(AND(Masterdata!$B$4&lt;&gt;DATE(1900,1,0), Masterdata!$B$4&lt;$E10), AND(Masterdata!$B$3&lt;&gt;DATE(1900,1,0), Masterdata!$B$3&gt;$E10)), IF($H10&gt;TIME(0,0,0), "tast i næste felt", 0), IF($H10&gt;TIME(0,0,0), "Tast i næste felt", IF($H10&gt;0, 0, _xlfn.IFS($C10="lørdag", 0, $C10="søndag", 0, $F10="N", $V$8)))), "Tast i næste felt")</f>
        <v>0.30833333333333335</v>
      </c>
      <c r="H10" s="17"/>
      <c r="I10" s="16">
        <v>0</v>
      </c>
      <c r="J10" s="16">
        <v>0</v>
      </c>
      <c r="K10" s="50" t="str">
        <f>IF(OR(AND(Masterdata!$B$4&lt;&gt;DATE(1900,1,0),Masterdata!$B$4&lt;$E10),AND(Masterdata!$B$3&lt;&gt;DATE(1900,1,0),Masterdata!$B$3&gt;$E10)), "0:00", IF($H10&gt;TIME(0,0,0), IF($H10-$V$8&gt;=0, TEXT($H10-$V$8, "[t]:mm"), "-"&amp;TEXT(ABS($H10-$V$8), "[t]:mm")), IFERROR(IF($G10-$V$8=0, IF($G10-$V$8&gt;=0, TEXT($G10-$V$8, "[t]:mm"), "-"&amp;TEXT(ABS($G10-$V$8), "[t]:mm")), IF($J10-$I10&gt;=0, TEXT($J10-$I10, "[t]:mm"), "-"&amp;TEXT(ABS($J10-$I10), "[t]:mm"))), IF($J10-$I10-$V$8&gt;=0, TEXT($J10-$I10-$V$8, "[t]:mm"), "-"&amp;TEXT(ABS($J10-$I10-$V$8), "[t]:mm")))))</f>
        <v>0:00</v>
      </c>
      <c r="L10" s="54" t="str">
        <f t="shared" si="3"/>
        <v>0</v>
      </c>
      <c r="M10" s="58" t="str">
        <f t="shared" si="4"/>
        <v>0</v>
      </c>
      <c r="N10" s="51" t="str">
        <f t="shared" si="5"/>
        <v>00</v>
      </c>
      <c r="O10" s="57">
        <f t="shared" si="6"/>
        <v>0</v>
      </c>
      <c r="P10" s="6">
        <f t="shared" si="7"/>
        <v>0</v>
      </c>
      <c r="Q10" s="63"/>
    </row>
    <row r="11" spans="1:24" ht="15.75" x14ac:dyDescent="0.25">
      <c r="A11" s="12">
        <f t="shared" si="1"/>
        <v>1</v>
      </c>
      <c r="B11" s="13">
        <f t="shared" si="8"/>
        <v>45296</v>
      </c>
      <c r="C11" s="14" t="str" cm="1">
        <f t="array" ref="C11">_xlfn.SWITCH(WEEKDAY($D11, 2), 1, "mandag", 2, "tirsdag", 3, "onsdag", 4, "torsdag", 5, "fredag", 6, "lørdag", 7, "søndag")</f>
        <v>fredag</v>
      </c>
      <c r="D11">
        <f t="shared" si="0"/>
        <v>6</v>
      </c>
      <c r="E11" s="42">
        <f t="shared" si="2"/>
        <v>45296</v>
      </c>
      <c r="F11" s="15" t="s">
        <v>21</v>
      </c>
      <c r="G11" s="17" cm="1">
        <f t="array" ref="G11">IFERROR(IF(OR(AND(Masterdata!$B$4&lt;&gt;DATE(1900,1,0), Masterdata!$B$4&lt;$E11), AND(Masterdata!$B$3&lt;&gt;DATE(1900,1,0), Masterdata!$B$3&gt;$E11)), IF($H11&gt;TIME(0,0,0), "tast i næste felt", 0), IF($H11&gt;TIME(0,0,0), "Tast i næste felt", IF($H11&gt;0, 0, _xlfn.IFS($C11="lørdag", 0, $C11="søndag", 0, $F11="N", $V$8)))), "Tast i næste felt")</f>
        <v>0.30833333333333335</v>
      </c>
      <c r="H11" s="17"/>
      <c r="I11" s="16">
        <v>0</v>
      </c>
      <c r="J11" s="16">
        <v>0</v>
      </c>
      <c r="K11" s="50" t="str">
        <f>IF(OR(AND(Masterdata!$B$4&lt;&gt;DATE(1900,1,0),Masterdata!$B$4&lt;$E11),AND(Masterdata!$B$3&lt;&gt;DATE(1900,1,0),Masterdata!$B$3&gt;$E11)), "0:00", IF($H11&gt;TIME(0,0,0), IF($H11-$V$8&gt;=0, TEXT($H11-$V$8, "[t]:mm"), "-"&amp;TEXT(ABS($H11-$V$8), "[t]:mm")), IFERROR(IF($G11-$V$8=0, IF($G11-$V$8&gt;=0, TEXT($G11-$V$8, "[t]:mm"), "-"&amp;TEXT(ABS($G11-$V$8), "[t]:mm")), IF($J11-$I11&gt;=0, TEXT($J11-$I11, "[t]:mm"), "-"&amp;TEXT(ABS($J11-$I11), "[t]:mm"))), IF($J11-$I11-$V$8&gt;=0, TEXT($J11-$I11-$V$8, "[t]:mm"), "-"&amp;TEXT(ABS($J11-$I11-$V$8), "[t]:mm")))))</f>
        <v>0:00</v>
      </c>
      <c r="L11" s="54" t="str">
        <f t="shared" si="3"/>
        <v>0</v>
      </c>
      <c r="M11" s="58" t="str">
        <f t="shared" si="4"/>
        <v>0</v>
      </c>
      <c r="N11" s="51" t="str">
        <f t="shared" si="5"/>
        <v>00</v>
      </c>
      <c r="O11" s="57">
        <f t="shared" si="6"/>
        <v>0</v>
      </c>
      <c r="P11" s="6">
        <f t="shared" si="7"/>
        <v>0</v>
      </c>
      <c r="Q11" s="63"/>
      <c r="V11" s="6"/>
    </row>
    <row r="12" spans="1:24" ht="15.75" x14ac:dyDescent="0.25">
      <c r="A12" s="12">
        <f t="shared" si="1"/>
        <v>1</v>
      </c>
      <c r="B12" s="13">
        <f t="shared" si="8"/>
        <v>45297</v>
      </c>
      <c r="C12" s="14" t="str" cm="1">
        <f t="array" ref="C12">_xlfn.SWITCH(WEEKDAY($D12, 2), 1, "mandag", 2, "tirsdag", 3, "onsdag", 4, "torsdag", 5, "fredag", 6, "lørdag", 7, "søndag")</f>
        <v>lørdag</v>
      </c>
      <c r="D12">
        <f t="shared" si="0"/>
        <v>7</v>
      </c>
      <c r="E12" s="42">
        <f t="shared" si="2"/>
        <v>45297</v>
      </c>
      <c r="F12" s="15" t="s">
        <v>21</v>
      </c>
      <c r="G12" s="17" cm="1">
        <f t="array" ref="G12">IFERROR(IF(OR(AND(Masterdata!$B$4&lt;&gt;DATE(1900,1,0), Masterdata!$B$4&lt;$E12), AND(Masterdata!$B$3&lt;&gt;DATE(1900,1,0), Masterdata!$B$3&gt;$E12)), IF($H12&gt;TIME(0,0,0), "tast i næste felt", 0), IF($H12&gt;TIME(0,0,0), "Tast i næste felt", IF($H12&gt;0, 0, _xlfn.IFS($C12="lørdag", 0, $C12="søndag", 0, $F12="N", $V$8)))), "Tast i næste felt")</f>
        <v>0</v>
      </c>
      <c r="H12" s="17"/>
      <c r="I12" s="16">
        <v>0</v>
      </c>
      <c r="J12" s="16">
        <v>0</v>
      </c>
      <c r="K12" s="50" t="str">
        <f>IF(OR(AND(Masterdata!$B$4&lt;&gt;DATE(1900,1,0),Masterdata!$B$4&lt;$E12),AND(Masterdata!$B$3&lt;&gt;DATE(1900,1,0),Masterdata!$B$3&gt;$E12)), "0:00", IF($H12&gt;TIME(0,0,0), IF($H12-$V$8&gt;=0, TEXT($H12-$V$8, "[t]:mm"), "-"&amp;TEXT(ABS($H12-$V$8), "[t]:mm")), IFERROR(IF($G12-$V$8=0, IF($G12-$V$8&gt;=0, TEXT($G12-$V$8, "[t]:mm"), "-"&amp;TEXT(ABS($G12-$V$8), "[t]:mm")), IF($J12-$I12&gt;=0, TEXT($J12-$I12, "[t]:mm"), "-"&amp;TEXT(ABS($J12-$I12), "[t]:mm"))), IF($J12-$I12-$V$8&gt;=0, TEXT($J12-$I12-$V$8, "[t]:mm"), "-"&amp;TEXT(ABS($J12-$I12-$V$8), "[t]:mm")))))</f>
        <v>0:00</v>
      </c>
      <c r="L12" s="54" t="str">
        <f t="shared" si="3"/>
        <v>0</v>
      </c>
      <c r="M12" s="58" t="str">
        <f t="shared" si="4"/>
        <v>0</v>
      </c>
      <c r="N12" s="51" t="str">
        <f t="shared" si="5"/>
        <v>00</v>
      </c>
      <c r="O12" s="57">
        <f t="shared" si="6"/>
        <v>0</v>
      </c>
      <c r="P12" s="6">
        <f t="shared" si="7"/>
        <v>0</v>
      </c>
      <c r="Q12" s="63"/>
      <c r="V12" s="38"/>
    </row>
    <row r="13" spans="1:24" ht="15.75" x14ac:dyDescent="0.25">
      <c r="A13" s="12">
        <f t="shared" si="1"/>
        <v>1</v>
      </c>
      <c r="B13" s="13">
        <f t="shared" si="8"/>
        <v>45298</v>
      </c>
      <c r="C13" s="14" t="str" cm="1">
        <f t="array" ref="C13">_xlfn.SWITCH(WEEKDAY($D13, 2), 1, "mandag", 2, "tirsdag", 3, "onsdag", 4, "torsdag", 5, "fredag", 6, "lørdag", 7, "søndag")</f>
        <v>søndag</v>
      </c>
      <c r="D13">
        <f t="shared" si="0"/>
        <v>8</v>
      </c>
      <c r="E13" s="42">
        <f t="shared" si="2"/>
        <v>45298</v>
      </c>
      <c r="F13" s="15" t="s">
        <v>21</v>
      </c>
      <c r="G13" s="17" cm="1">
        <f t="array" ref="G13">IFERROR(IF(OR(AND(Masterdata!$B$4&lt;&gt;DATE(1900,1,0), Masterdata!$B$4&lt;$E13), AND(Masterdata!$B$3&lt;&gt;DATE(1900,1,0), Masterdata!$B$3&gt;$E13)), IF($H13&gt;TIME(0,0,0), "tast i næste felt", 0), IF($H13&gt;TIME(0,0,0), "Tast i næste felt", IF($H13&gt;0, 0, _xlfn.IFS($C13="lørdag", 0, $C13="søndag", 0, $F13="N", $V$8)))), "Tast i næste felt")</f>
        <v>0</v>
      </c>
      <c r="H13" s="17"/>
      <c r="I13" s="16">
        <v>0</v>
      </c>
      <c r="J13" s="16">
        <v>0</v>
      </c>
      <c r="K13" s="50" t="str">
        <f>IF(OR(AND(Masterdata!$B$4&lt;&gt;DATE(1900,1,0),Masterdata!$B$4&lt;$E13),AND(Masterdata!$B$3&lt;&gt;DATE(1900,1,0),Masterdata!$B$3&gt;$E13)), "0:00", IF($H13&gt;TIME(0,0,0), IF($H13-$V$8&gt;=0, TEXT($H13-$V$8, "[t]:mm"), "-"&amp;TEXT(ABS($H13-$V$8), "[t]:mm")), IFERROR(IF($G13-$V$8=0, IF($G13-$V$8&gt;=0, TEXT($G13-$V$8, "[t]:mm"), "-"&amp;TEXT(ABS($G13-$V$8), "[t]:mm")), IF($J13-$I13&gt;=0, TEXT($J13-$I13, "[t]:mm"), "-"&amp;TEXT(ABS($J13-$I13), "[t]:mm"))), IF($J13-$I13-$V$8&gt;=0, TEXT($J13-$I13-$V$8, "[t]:mm"), "-"&amp;TEXT(ABS($J13-$I13-$V$8), "[t]:mm")))))</f>
        <v>0:00</v>
      </c>
      <c r="L13" s="54" t="str">
        <f t="shared" si="3"/>
        <v>0</v>
      </c>
      <c r="M13" s="58" t="str">
        <f t="shared" si="4"/>
        <v>0</v>
      </c>
      <c r="N13" s="51" t="str">
        <f t="shared" si="5"/>
        <v>00</v>
      </c>
      <c r="O13" s="57">
        <f t="shared" si="6"/>
        <v>0</v>
      </c>
      <c r="P13" s="6">
        <f t="shared" si="7"/>
        <v>0</v>
      </c>
      <c r="Q13" s="63"/>
    </row>
    <row r="14" spans="1:24" ht="15.75" x14ac:dyDescent="0.25">
      <c r="A14" s="12">
        <f t="shared" si="1"/>
        <v>2</v>
      </c>
      <c r="B14" s="13">
        <f t="shared" si="8"/>
        <v>45299</v>
      </c>
      <c r="C14" s="14" t="str" cm="1">
        <f t="array" ref="C14">_xlfn.SWITCH(WEEKDAY($D14, 2), 1, "mandag", 2, "tirsdag", 3, "onsdag", 4, "torsdag", 5, "fredag", 6, "lørdag", 7, "søndag")</f>
        <v>mandag</v>
      </c>
      <c r="D14">
        <f t="shared" si="0"/>
        <v>2</v>
      </c>
      <c r="E14" s="42">
        <f t="shared" si="2"/>
        <v>45299</v>
      </c>
      <c r="F14" s="15" t="s">
        <v>21</v>
      </c>
      <c r="G14" s="17" cm="1">
        <f t="array" ref="G14">IFERROR(IF(OR(AND(Masterdata!$B$4&lt;&gt;DATE(1900,1,0), Masterdata!$B$4&lt;$E14), AND(Masterdata!$B$3&lt;&gt;DATE(1900,1,0), Masterdata!$B$3&gt;$E14)), IF($H14&gt;TIME(0,0,0), "tast i næste felt", 0), IF($H14&gt;TIME(0,0,0), "Tast i næste felt", IF($H14&gt;0, 0, _xlfn.IFS($C14="lørdag", 0, $C14="søndag", 0, $F14="N", $V$8)))), "Tast i næste felt")</f>
        <v>0.30833333333333335</v>
      </c>
      <c r="H14" s="17"/>
      <c r="I14" s="16">
        <v>0</v>
      </c>
      <c r="J14" s="16">
        <v>0</v>
      </c>
      <c r="K14" s="50" t="str">
        <f>IF(OR(AND(Masterdata!$B$4&lt;&gt;DATE(1900,1,0),Masterdata!$B$4&lt;$E14),AND(Masterdata!$B$3&lt;&gt;DATE(1900,1,0),Masterdata!$B$3&gt;$E14)), "0:00", IF($H14&gt;TIME(0,0,0), IF($H14-$V$8&gt;=0, TEXT($H14-$V$8, "[t]:mm"), "-"&amp;TEXT(ABS($H14-$V$8), "[t]:mm")), IFERROR(IF($G14-$V$8=0, IF($G14-$V$8&gt;=0, TEXT($G14-$V$8, "[t]:mm"), "-"&amp;TEXT(ABS($G14-$V$8), "[t]:mm")), IF($J14-$I14&gt;=0, TEXT($J14-$I14, "[t]:mm"), "-"&amp;TEXT(ABS($J14-$I14), "[t]:mm"))), IF($J14-$I14-$V$8&gt;=0, TEXT($J14-$I14-$V$8, "[t]:mm"), "-"&amp;TEXT(ABS($J14-$I14-$V$8), "[t]:mm")))))</f>
        <v>0:00</v>
      </c>
      <c r="L14" s="54" t="str">
        <f t="shared" si="3"/>
        <v>0</v>
      </c>
      <c r="M14" s="58" t="str">
        <f t="shared" si="4"/>
        <v>0</v>
      </c>
      <c r="N14" s="51" t="str">
        <f t="shared" si="5"/>
        <v>00</v>
      </c>
      <c r="O14" s="57">
        <f t="shared" si="6"/>
        <v>0</v>
      </c>
      <c r="P14" s="6">
        <f t="shared" si="7"/>
        <v>0</v>
      </c>
      <c r="Q14" s="63"/>
      <c r="S14" t="s">
        <v>46</v>
      </c>
      <c r="T14" t="s">
        <v>47</v>
      </c>
      <c r="U14" t="s">
        <v>48</v>
      </c>
      <c r="V14" s="6">
        <f>V9-V12</f>
        <v>160.33000000000001</v>
      </c>
    </row>
    <row r="15" spans="1:24" ht="15.75" x14ac:dyDescent="0.25">
      <c r="A15" s="12">
        <f t="shared" si="1"/>
        <v>2</v>
      </c>
      <c r="B15" s="13">
        <f t="shared" si="8"/>
        <v>45300</v>
      </c>
      <c r="C15" s="14" t="str" cm="1">
        <f t="array" ref="C15">_xlfn.SWITCH(WEEKDAY($D15, 2), 1, "mandag", 2, "tirsdag", 3, "onsdag", 4, "torsdag", 5, "fredag", 6, "lørdag", 7, "søndag")</f>
        <v>tirsdag</v>
      </c>
      <c r="D15">
        <f t="shared" si="0"/>
        <v>3</v>
      </c>
      <c r="E15" s="42">
        <f t="shared" si="2"/>
        <v>45300</v>
      </c>
      <c r="F15" s="15" t="s">
        <v>21</v>
      </c>
      <c r="G15" s="17" cm="1">
        <f t="array" ref="G15">IFERROR(IF(OR(AND(Masterdata!$B$4&lt;&gt;DATE(1900,1,0), Masterdata!$B$4&lt;$E15), AND(Masterdata!$B$3&lt;&gt;DATE(1900,1,0), Masterdata!$B$3&gt;$E15)), IF($H15&gt;TIME(0,0,0), "tast i næste felt", 0), IF($H15&gt;TIME(0,0,0), "Tast i næste felt", IF($H15&gt;0, 0, _xlfn.IFS($C15="lørdag", 0, $C15="søndag", 0, $F15="N", $V$8)))), "Tast i næste felt")</f>
        <v>0.30833333333333335</v>
      </c>
      <c r="H15" s="17"/>
      <c r="I15" s="16">
        <v>0</v>
      </c>
      <c r="J15" s="16">
        <v>0</v>
      </c>
      <c r="K15" s="50" t="str">
        <f>IF(OR(AND(Masterdata!$B$4&lt;&gt;DATE(1900,1,0),Masterdata!$B$4&lt;$E15),AND(Masterdata!$B$3&lt;&gt;DATE(1900,1,0),Masterdata!$B$3&gt;$E15)), "0:00", IF($H15&gt;TIME(0,0,0), IF($H15-$V$8&gt;=0, TEXT($H15-$V$8, "[t]:mm"), "-"&amp;TEXT(ABS($H15-$V$8), "[t]:mm")), IFERROR(IF($G15-$V$8=0, IF($G15-$V$8&gt;=0, TEXT($G15-$V$8, "[t]:mm"), "-"&amp;TEXT(ABS($G15-$V$8), "[t]:mm")), IF($J15-$I15&gt;=0, TEXT($J15-$I15, "[t]:mm"), "-"&amp;TEXT(ABS($J15-$I15), "[t]:mm"))), IF($J15-$I15-$V$8&gt;=0, TEXT($J15-$I15-$V$8, "[t]:mm"), "-"&amp;TEXT(ABS($J15-$I15-$V$8), "[t]:mm")))))</f>
        <v>0:00</v>
      </c>
      <c r="L15" s="54" t="str">
        <f t="shared" si="3"/>
        <v>0</v>
      </c>
      <c r="M15" s="58" t="str">
        <f t="shared" si="4"/>
        <v>0</v>
      </c>
      <c r="N15" s="51" t="str">
        <f t="shared" si="5"/>
        <v>00</v>
      </c>
      <c r="O15" s="57">
        <f t="shared" si="6"/>
        <v>0</v>
      </c>
      <c r="P15" s="6">
        <f t="shared" si="7"/>
        <v>0</v>
      </c>
      <c r="Q15" s="63"/>
      <c r="S15" t="s">
        <v>49</v>
      </c>
      <c r="T15" t="s">
        <v>50</v>
      </c>
      <c r="U15" t="s">
        <v>51</v>
      </c>
      <c r="V15" s="6" t="e">
        <f>SUM(#REF!)</f>
        <v>#REF!</v>
      </c>
    </row>
    <row r="16" spans="1:24" ht="15.75" x14ac:dyDescent="0.25">
      <c r="A16" s="12">
        <f t="shared" si="1"/>
        <v>2</v>
      </c>
      <c r="B16" s="13">
        <f t="shared" si="8"/>
        <v>45301</v>
      </c>
      <c r="C16" s="14" t="str" cm="1">
        <f t="array" ref="C16">_xlfn.SWITCH(WEEKDAY($D16, 2), 1, "mandag", 2, "tirsdag", 3, "onsdag", 4, "torsdag", 5, "fredag", 6, "lørdag", 7, "søndag")</f>
        <v>onsdag</v>
      </c>
      <c r="D16">
        <f t="shared" si="0"/>
        <v>4</v>
      </c>
      <c r="E16" s="42">
        <f t="shared" si="2"/>
        <v>45301</v>
      </c>
      <c r="F16" s="15" t="s">
        <v>21</v>
      </c>
      <c r="G16" s="17" cm="1">
        <f t="array" ref="G16">IFERROR(IF(OR(AND(Masterdata!$B$4&lt;&gt;DATE(1900,1,0), Masterdata!$B$4&lt;$E16), AND(Masterdata!$B$3&lt;&gt;DATE(1900,1,0), Masterdata!$B$3&gt;$E16)), IF($H16&gt;TIME(0,0,0), "tast i næste felt", 0), IF($H16&gt;TIME(0,0,0), "Tast i næste felt", IF($H16&gt;0, 0, _xlfn.IFS($C16="lørdag", 0, $C16="søndag", 0, $F16="N", $V$8)))), "Tast i næste felt")</f>
        <v>0.30833333333333335</v>
      </c>
      <c r="H16" s="17"/>
      <c r="I16" s="16">
        <v>0</v>
      </c>
      <c r="J16" s="16">
        <v>0</v>
      </c>
      <c r="K16" s="50" t="str">
        <f>IF(OR(AND(Masterdata!$B$4&lt;&gt;DATE(1900,1,0),Masterdata!$B$4&lt;$E16),AND(Masterdata!$B$3&lt;&gt;DATE(1900,1,0),Masterdata!$B$3&gt;$E16)), "0:00", IF($H16&gt;TIME(0,0,0), IF($H16-$V$8&gt;=0, TEXT($H16-$V$8, "[t]:mm"), "-"&amp;TEXT(ABS($H16-$V$8), "[t]:mm")), IFERROR(IF($G16-$V$8=0, IF($G16-$V$8&gt;=0, TEXT($G16-$V$8, "[t]:mm"), "-"&amp;TEXT(ABS($G16-$V$8), "[t]:mm")), IF($J16-$I16&gt;=0, TEXT($J16-$I16, "[t]:mm"), "-"&amp;TEXT(ABS($J16-$I16), "[t]:mm"))), IF($J16-$I16-$V$8&gt;=0, TEXT($J16-$I16-$V$8, "[t]:mm"), "-"&amp;TEXT(ABS($J16-$I16-$V$8), "[t]:mm")))))</f>
        <v>0:00</v>
      </c>
      <c r="L16" s="54" t="str">
        <f t="shared" si="3"/>
        <v>0</v>
      </c>
      <c r="M16" s="58" t="str">
        <f t="shared" si="4"/>
        <v>0</v>
      </c>
      <c r="N16" s="51" t="str">
        <f t="shared" si="5"/>
        <v>00</v>
      </c>
      <c r="O16" s="57">
        <f t="shared" si="6"/>
        <v>0</v>
      </c>
      <c r="P16" s="6">
        <f t="shared" si="7"/>
        <v>0</v>
      </c>
      <c r="Q16" s="63"/>
      <c r="S16" t="s">
        <v>23</v>
      </c>
      <c r="T16" t="s">
        <v>52</v>
      </c>
      <c r="U16" t="s">
        <v>53</v>
      </c>
      <c r="V16" s="6" t="e">
        <f>V14-V15</f>
        <v>#REF!</v>
      </c>
    </row>
    <row r="17" spans="1:21" ht="15.75" x14ac:dyDescent="0.25">
      <c r="A17" s="12">
        <f t="shared" si="1"/>
        <v>2</v>
      </c>
      <c r="B17" s="13">
        <f t="shared" si="8"/>
        <v>45302</v>
      </c>
      <c r="C17" s="14" t="str" cm="1">
        <f t="array" ref="C17">_xlfn.SWITCH(WEEKDAY($D17, 2), 1, "mandag", 2, "tirsdag", 3, "onsdag", 4, "torsdag", 5, "fredag", 6, "lørdag", 7, "søndag")</f>
        <v>torsdag</v>
      </c>
      <c r="D17">
        <f t="shared" si="0"/>
        <v>5</v>
      </c>
      <c r="E17" s="42">
        <f t="shared" si="2"/>
        <v>45302</v>
      </c>
      <c r="F17" s="15" t="s">
        <v>21</v>
      </c>
      <c r="G17" s="17" cm="1">
        <f t="array" ref="G17">IFERROR(IF(OR(AND(Masterdata!$B$4&lt;&gt;DATE(1900,1,0), Masterdata!$B$4&lt;$E17), AND(Masterdata!$B$3&lt;&gt;DATE(1900,1,0), Masterdata!$B$3&gt;$E17)), IF($H17&gt;TIME(0,0,0), "tast i næste felt", 0), IF($H17&gt;TIME(0,0,0), "Tast i næste felt", IF($H17&gt;0, 0, _xlfn.IFS($C17="lørdag", 0, $C17="søndag", 0, $F17="N", $V$8)))), "Tast i næste felt")</f>
        <v>0.30833333333333335</v>
      </c>
      <c r="H17" s="17"/>
      <c r="I17" s="16">
        <v>0</v>
      </c>
      <c r="J17" s="16">
        <v>0</v>
      </c>
      <c r="K17" s="50" t="str">
        <f>IF(OR(AND(Masterdata!$B$4&lt;&gt;DATE(1900,1,0),Masterdata!$B$4&lt;$E17),AND(Masterdata!$B$3&lt;&gt;DATE(1900,1,0),Masterdata!$B$3&gt;$E17)), "0:00", IF($H17&gt;TIME(0,0,0), IF($H17-$V$8&gt;=0, TEXT($H17-$V$8, "[t]:mm"), "-"&amp;TEXT(ABS($H17-$V$8), "[t]:mm")), IFERROR(IF($G17-$V$8=0, IF($G17-$V$8&gt;=0, TEXT($G17-$V$8, "[t]:mm"), "-"&amp;TEXT(ABS($G17-$V$8), "[t]:mm")), IF($J17-$I17&gt;=0, TEXT($J17-$I17, "[t]:mm"), "-"&amp;TEXT(ABS($J17-$I17), "[t]:mm"))), IF($J17-$I17-$V$8&gt;=0, TEXT($J17-$I17-$V$8, "[t]:mm"), "-"&amp;TEXT(ABS($J17-$I17-$V$8), "[t]:mm")))))</f>
        <v>0:00</v>
      </c>
      <c r="L17" s="54" t="str">
        <f t="shared" si="3"/>
        <v>0</v>
      </c>
      <c r="M17" s="58" t="str">
        <f t="shared" si="4"/>
        <v>0</v>
      </c>
      <c r="N17" s="51" t="str">
        <f t="shared" si="5"/>
        <v>00</v>
      </c>
      <c r="O17" s="57">
        <f t="shared" si="6"/>
        <v>0</v>
      </c>
      <c r="P17" s="6">
        <f t="shared" si="7"/>
        <v>0</v>
      </c>
      <c r="Q17" s="63"/>
      <c r="U17" s="42"/>
    </row>
    <row r="18" spans="1:21" ht="15.75" x14ac:dyDescent="0.25">
      <c r="A18" s="12">
        <f t="shared" si="1"/>
        <v>2</v>
      </c>
      <c r="B18" s="13">
        <f t="shared" si="8"/>
        <v>45303</v>
      </c>
      <c r="C18" s="14" t="str" cm="1">
        <f t="array" ref="C18">_xlfn.SWITCH(WEEKDAY($D18, 2), 1, "mandag", 2, "tirsdag", 3, "onsdag", 4, "torsdag", 5, "fredag", 6, "lørdag", 7, "søndag")</f>
        <v>fredag</v>
      </c>
      <c r="D18">
        <f t="shared" ref="D18:D37" si="9">WEEKDAY($B18, 2)+1</f>
        <v>6</v>
      </c>
      <c r="E18" s="42">
        <f t="shared" si="2"/>
        <v>45303</v>
      </c>
      <c r="F18" s="15" t="s">
        <v>21</v>
      </c>
      <c r="G18" s="17" cm="1">
        <f t="array" ref="G18">IFERROR(IF(OR(AND(Masterdata!$B$4&lt;&gt;DATE(1900,1,0), Masterdata!$B$4&lt;$E18), AND(Masterdata!$B$3&lt;&gt;DATE(1900,1,0), Masterdata!$B$3&gt;$E18)), IF($H18&gt;TIME(0,0,0), "tast i næste felt", 0), IF($H18&gt;TIME(0,0,0), "Tast i næste felt", IF($H18&gt;0, 0, _xlfn.IFS($C18="lørdag", 0, $C18="søndag", 0, $F18="N", $V$8)))), "Tast i næste felt")</f>
        <v>0.30833333333333335</v>
      </c>
      <c r="H18" s="17"/>
      <c r="I18" s="16">
        <v>0</v>
      </c>
      <c r="J18" s="16">
        <v>0</v>
      </c>
      <c r="K18" s="50" t="str">
        <f>IF(OR(AND(Masterdata!$B$4&lt;&gt;DATE(1900,1,0),Masterdata!$B$4&lt;$E18),AND(Masterdata!$B$3&lt;&gt;DATE(1900,1,0),Masterdata!$B$3&gt;$E18)), "0:00", IF($H18&gt;TIME(0,0,0), IF($H18-$V$8&gt;=0, TEXT($H18-$V$8, "[t]:mm"), "-"&amp;TEXT(ABS($H18-$V$8), "[t]:mm")), IFERROR(IF($G18-$V$8=0, IF($G18-$V$8&gt;=0, TEXT($G18-$V$8, "[t]:mm"), "-"&amp;TEXT(ABS($G18-$V$8), "[t]:mm")), IF($J18-$I18&gt;=0, TEXT($J18-$I18, "[t]:mm"), "-"&amp;TEXT(ABS($J18-$I18), "[t]:mm"))), IF($J18-$I18-$V$8&gt;=0, TEXT($J18-$I18-$V$8, "[t]:mm"), "-"&amp;TEXT(ABS($J18-$I18-$V$8), "[t]:mm")))))</f>
        <v>0:00</v>
      </c>
      <c r="L18" s="54" t="str">
        <f t="shared" si="3"/>
        <v>0</v>
      </c>
      <c r="M18" s="58" t="str">
        <f t="shared" si="4"/>
        <v>0</v>
      </c>
      <c r="N18" s="51" t="str">
        <f t="shared" si="5"/>
        <v>00</v>
      </c>
      <c r="O18" s="57">
        <f t="shared" si="6"/>
        <v>0</v>
      </c>
      <c r="P18" s="6">
        <f t="shared" si="7"/>
        <v>0</v>
      </c>
      <c r="Q18" s="63"/>
      <c r="R18" s="52"/>
    </row>
    <row r="19" spans="1:21" ht="15.75" x14ac:dyDescent="0.25">
      <c r="A19" s="12">
        <f t="shared" si="1"/>
        <v>2</v>
      </c>
      <c r="B19" s="13">
        <f t="shared" si="8"/>
        <v>45304</v>
      </c>
      <c r="C19" s="14" t="str" cm="1">
        <f t="array" ref="C19">_xlfn.SWITCH(WEEKDAY($D19, 2), 1, "mandag", 2, "tirsdag", 3, "onsdag", 4, "torsdag", 5, "fredag", 6, "lørdag", 7, "søndag")</f>
        <v>lørdag</v>
      </c>
      <c r="D19">
        <f t="shared" si="9"/>
        <v>7</v>
      </c>
      <c r="E19" s="42">
        <f t="shared" si="2"/>
        <v>45304</v>
      </c>
      <c r="F19" s="15" t="s">
        <v>21</v>
      </c>
      <c r="G19" s="17" cm="1">
        <f t="array" ref="G19">IFERROR(IF(OR(AND(Masterdata!$B$4&lt;&gt;DATE(1900,1,0), Masterdata!$B$4&lt;$E19), AND(Masterdata!$B$3&lt;&gt;DATE(1900,1,0), Masterdata!$B$3&gt;$E19)), IF($H19&gt;TIME(0,0,0), "tast i næste felt", 0), IF($H19&gt;TIME(0,0,0), "Tast i næste felt", IF($H19&gt;0, 0, _xlfn.IFS($C19="lørdag", 0, $C19="søndag", 0, $F19="N", $V$8)))), "Tast i næste felt")</f>
        <v>0</v>
      </c>
      <c r="H19" s="17"/>
      <c r="I19" s="16">
        <v>0</v>
      </c>
      <c r="J19" s="16">
        <v>0</v>
      </c>
      <c r="K19" s="50" t="str">
        <f>IF(OR(AND(Masterdata!$B$4&lt;&gt;DATE(1900,1,0),Masterdata!$B$4&lt;$E19),AND(Masterdata!$B$3&lt;&gt;DATE(1900,1,0),Masterdata!$B$3&gt;$E19)), "0:00", IF($H19&gt;TIME(0,0,0), IF($H19-$V$8&gt;=0, TEXT($H19-$V$8, "[t]:mm"), "-"&amp;TEXT(ABS($H19-$V$8), "[t]:mm")), IFERROR(IF($G19-$V$8=0, IF($G19-$V$8&gt;=0, TEXT($G19-$V$8, "[t]:mm"), "-"&amp;TEXT(ABS($G19-$V$8), "[t]:mm")), IF($J19-$I19&gt;=0, TEXT($J19-$I19, "[t]:mm"), "-"&amp;TEXT(ABS($J19-$I19), "[t]:mm"))), IF($J19-$I19-$V$8&gt;=0, TEXT($J19-$I19-$V$8, "[t]:mm"), "-"&amp;TEXT(ABS($J19-$I19-$V$8), "[t]:mm")))))</f>
        <v>0:00</v>
      </c>
      <c r="L19" s="54" t="str">
        <f t="shared" si="3"/>
        <v>0</v>
      </c>
      <c r="M19" s="58" t="str">
        <f t="shared" si="4"/>
        <v>0</v>
      </c>
      <c r="N19" s="51" t="str">
        <f t="shared" si="5"/>
        <v>00</v>
      </c>
      <c r="O19" s="57">
        <f t="shared" si="6"/>
        <v>0</v>
      </c>
      <c r="P19" s="6">
        <f t="shared" si="7"/>
        <v>0</v>
      </c>
      <c r="Q19" s="63"/>
    </row>
    <row r="20" spans="1:21" ht="15.75" x14ac:dyDescent="0.25">
      <c r="A20" s="12">
        <f t="shared" si="1"/>
        <v>2</v>
      </c>
      <c r="B20" s="13">
        <f t="shared" si="8"/>
        <v>45305</v>
      </c>
      <c r="C20" s="14" t="str" cm="1">
        <f t="array" ref="C20">_xlfn.SWITCH(WEEKDAY($D20, 2), 1, "mandag", 2, "tirsdag", 3, "onsdag", 4, "torsdag", 5, "fredag", 6, "lørdag", 7, "søndag")</f>
        <v>søndag</v>
      </c>
      <c r="D20">
        <f t="shared" si="9"/>
        <v>8</v>
      </c>
      <c r="E20" s="42">
        <f t="shared" si="2"/>
        <v>45305</v>
      </c>
      <c r="F20" s="15" t="s">
        <v>21</v>
      </c>
      <c r="G20" s="17" cm="1">
        <f t="array" ref="G20">IFERROR(IF(OR(AND(Masterdata!$B$4&lt;&gt;DATE(1900,1,0), Masterdata!$B$4&lt;$E20), AND(Masterdata!$B$3&lt;&gt;DATE(1900,1,0), Masterdata!$B$3&gt;$E20)), IF($H20&gt;TIME(0,0,0), "tast i næste felt", 0), IF($H20&gt;TIME(0,0,0), "Tast i næste felt", IF($H20&gt;0, 0, _xlfn.IFS($C20="lørdag", 0, $C20="søndag", 0, $F20="N", $V$8)))), "Tast i næste felt")</f>
        <v>0</v>
      </c>
      <c r="H20" s="17"/>
      <c r="I20" s="16">
        <v>0</v>
      </c>
      <c r="J20" s="16">
        <v>0</v>
      </c>
      <c r="K20" s="50" t="str">
        <f>IF(OR(AND(Masterdata!$B$4&lt;&gt;DATE(1900,1,0),Masterdata!$B$4&lt;$E20),AND(Masterdata!$B$3&lt;&gt;DATE(1900,1,0),Masterdata!$B$3&gt;$E20)), "0:00", IF($H20&gt;TIME(0,0,0), IF($H20-$V$8&gt;=0, TEXT($H20-$V$8, "[t]:mm"), "-"&amp;TEXT(ABS($H20-$V$8), "[t]:mm")), IFERROR(IF($G20-$V$8=0, IF($G20-$V$8&gt;=0, TEXT($G20-$V$8, "[t]:mm"), "-"&amp;TEXT(ABS($G20-$V$8), "[t]:mm")), IF($J20-$I20&gt;=0, TEXT($J20-$I20, "[t]:mm"), "-"&amp;TEXT(ABS($J20-$I20), "[t]:mm"))), IF($J20-$I20-$V$8&gt;=0, TEXT($J20-$I20-$V$8, "[t]:mm"), "-"&amp;TEXT(ABS($J20-$I20-$V$8), "[t]:mm")))))</f>
        <v>0:00</v>
      </c>
      <c r="L20" s="54" t="str">
        <f t="shared" si="3"/>
        <v>0</v>
      </c>
      <c r="M20" s="58" t="str">
        <f t="shared" si="4"/>
        <v>0</v>
      </c>
      <c r="N20" s="51" t="str">
        <f t="shared" si="5"/>
        <v>00</v>
      </c>
      <c r="O20" s="57">
        <f t="shared" si="6"/>
        <v>0</v>
      </c>
      <c r="P20" s="6">
        <f t="shared" si="7"/>
        <v>0</v>
      </c>
      <c r="Q20" s="63"/>
    </row>
    <row r="21" spans="1:21" ht="15.75" x14ac:dyDescent="0.25">
      <c r="A21" s="12">
        <f t="shared" si="1"/>
        <v>3</v>
      </c>
      <c r="B21" s="13">
        <f t="shared" si="8"/>
        <v>45306</v>
      </c>
      <c r="C21" s="14" t="str" cm="1">
        <f t="array" ref="C21">_xlfn.SWITCH(WEEKDAY($D21, 2), 1, "mandag", 2, "tirsdag", 3, "onsdag", 4, "torsdag", 5, "fredag", 6, "lørdag", 7, "søndag")</f>
        <v>mandag</v>
      </c>
      <c r="D21">
        <f t="shared" si="9"/>
        <v>2</v>
      </c>
      <c r="E21" s="42">
        <f t="shared" si="2"/>
        <v>45306</v>
      </c>
      <c r="F21" s="15" t="s">
        <v>21</v>
      </c>
      <c r="G21" s="17" cm="1">
        <f t="array" ref="G21">IFERROR(IF(OR(AND(Masterdata!$B$4&lt;&gt;DATE(1900,1,0), Masterdata!$B$4&lt;$E21), AND(Masterdata!$B$3&lt;&gt;DATE(1900,1,0), Masterdata!$B$3&gt;$E21)), IF($H21&gt;TIME(0,0,0), "tast i næste felt", 0), IF($H21&gt;TIME(0,0,0), "Tast i næste felt", IF($H21&gt;0, 0, _xlfn.IFS($C21="lørdag", 0, $C21="søndag", 0, $F21="N", $V$8)))), "Tast i næste felt")</f>
        <v>0.30833333333333335</v>
      </c>
      <c r="H21" s="17"/>
      <c r="I21" s="16">
        <v>0</v>
      </c>
      <c r="J21" s="16">
        <v>0</v>
      </c>
      <c r="K21" s="50" t="str">
        <f>IF(OR(AND(Masterdata!$B$4&lt;&gt;DATE(1900,1,0),Masterdata!$B$4&lt;$E21),AND(Masterdata!$B$3&lt;&gt;DATE(1900,1,0),Masterdata!$B$3&gt;$E21)), "0:00", IF($H21&gt;TIME(0,0,0), IF($H21-$V$8&gt;=0, TEXT($H21-$V$8, "[t]:mm"), "-"&amp;TEXT(ABS($H21-$V$8), "[t]:mm")), IFERROR(IF($G21-$V$8=0, IF($G21-$V$8&gt;=0, TEXT($G21-$V$8, "[t]:mm"), "-"&amp;TEXT(ABS($G21-$V$8), "[t]:mm")), IF($J21-$I21&gt;=0, TEXT($J21-$I21, "[t]:mm"), "-"&amp;TEXT(ABS($J21-$I21), "[t]:mm"))), IF($J21-$I21-$V$8&gt;=0, TEXT($J21-$I21-$V$8, "[t]:mm"), "-"&amp;TEXT(ABS($J21-$I21-$V$8), "[t]:mm")))))</f>
        <v>0:00</v>
      </c>
      <c r="L21" s="54" t="str">
        <f t="shared" si="3"/>
        <v>0</v>
      </c>
      <c r="M21" s="58" t="str">
        <f t="shared" si="4"/>
        <v>0</v>
      </c>
      <c r="N21" s="51" t="str">
        <f t="shared" si="5"/>
        <v>00</v>
      </c>
      <c r="O21" s="57">
        <f t="shared" si="6"/>
        <v>0</v>
      </c>
      <c r="P21" s="6">
        <f t="shared" si="7"/>
        <v>0</v>
      </c>
      <c r="Q21" s="63"/>
    </row>
    <row r="22" spans="1:21" ht="15.75" x14ac:dyDescent="0.25">
      <c r="A22" s="12">
        <f t="shared" si="1"/>
        <v>3</v>
      </c>
      <c r="B22" s="13">
        <f t="shared" si="8"/>
        <v>45307</v>
      </c>
      <c r="C22" s="14" t="str" cm="1">
        <f t="array" ref="C22">_xlfn.SWITCH(WEEKDAY($D22, 2), 1, "mandag", 2, "tirsdag", 3, "onsdag", 4, "torsdag", 5, "fredag", 6, "lørdag", 7, "søndag")</f>
        <v>tirsdag</v>
      </c>
      <c r="D22">
        <f t="shared" si="9"/>
        <v>3</v>
      </c>
      <c r="E22" s="42">
        <f t="shared" si="2"/>
        <v>45307</v>
      </c>
      <c r="F22" s="15" t="s">
        <v>21</v>
      </c>
      <c r="G22" s="17" cm="1">
        <f t="array" ref="G22">IFERROR(IF(OR(AND(Masterdata!$B$4&lt;&gt;DATE(1900,1,0), Masterdata!$B$4&lt;$E22), AND(Masterdata!$B$3&lt;&gt;DATE(1900,1,0), Masterdata!$B$3&gt;$E22)), IF($H22&gt;TIME(0,0,0), "tast i næste felt", 0), IF($H22&gt;TIME(0,0,0), "Tast i næste felt", IF($H22&gt;0, 0, _xlfn.IFS($C22="lørdag", 0, $C22="søndag", 0, $F22="N", $V$8)))), "Tast i næste felt")</f>
        <v>0.30833333333333335</v>
      </c>
      <c r="H22" s="17"/>
      <c r="I22" s="16">
        <v>0</v>
      </c>
      <c r="J22" s="16">
        <v>0</v>
      </c>
      <c r="K22" s="50" t="str">
        <f>IF(OR(AND(Masterdata!$B$4&lt;&gt;DATE(1900,1,0),Masterdata!$B$4&lt;$E22),AND(Masterdata!$B$3&lt;&gt;DATE(1900,1,0),Masterdata!$B$3&gt;$E22)), "0:00", IF($H22&gt;TIME(0,0,0), IF($H22-$V$8&gt;=0, TEXT($H22-$V$8, "[t]:mm"), "-"&amp;TEXT(ABS($H22-$V$8), "[t]:mm")), IFERROR(IF($G22-$V$8=0, IF($G22-$V$8&gt;=0, TEXT($G22-$V$8, "[t]:mm"), "-"&amp;TEXT(ABS($G22-$V$8), "[t]:mm")), IF($J22-$I22&gt;=0, TEXT($J22-$I22, "[t]:mm"), "-"&amp;TEXT(ABS($J22-$I22), "[t]:mm"))), IF($J22-$I22-$V$8&gt;=0, TEXT($J22-$I22-$V$8, "[t]:mm"), "-"&amp;TEXT(ABS($J22-$I22-$V$8), "[t]:mm")))))</f>
        <v>0:00</v>
      </c>
      <c r="L22" s="54" t="str">
        <f t="shared" si="3"/>
        <v>0</v>
      </c>
      <c r="M22" s="58" t="str">
        <f t="shared" si="4"/>
        <v>0</v>
      </c>
      <c r="N22" s="51" t="str">
        <f t="shared" si="5"/>
        <v>00</v>
      </c>
      <c r="O22" s="57">
        <f t="shared" si="6"/>
        <v>0</v>
      </c>
      <c r="P22" s="6">
        <f t="shared" si="7"/>
        <v>0</v>
      </c>
      <c r="Q22" s="63"/>
    </row>
    <row r="23" spans="1:21" ht="15.75" x14ac:dyDescent="0.25">
      <c r="A23" s="12">
        <f t="shared" si="1"/>
        <v>3</v>
      </c>
      <c r="B23" s="13">
        <f t="shared" si="8"/>
        <v>45308</v>
      </c>
      <c r="C23" s="14" t="str" cm="1">
        <f t="array" ref="C23">_xlfn.SWITCH(WEEKDAY($D23, 2), 1, "mandag", 2, "tirsdag", 3, "onsdag", 4, "torsdag", 5, "fredag", 6, "lørdag", 7, "søndag")</f>
        <v>onsdag</v>
      </c>
      <c r="D23">
        <f t="shared" si="9"/>
        <v>4</v>
      </c>
      <c r="E23" s="42">
        <f t="shared" si="2"/>
        <v>45308</v>
      </c>
      <c r="F23" s="15" t="s">
        <v>21</v>
      </c>
      <c r="G23" s="17" cm="1">
        <f t="array" ref="G23">IFERROR(IF(OR(AND(Masterdata!$B$4&lt;&gt;DATE(1900,1,0), Masterdata!$B$4&lt;$E23), AND(Masterdata!$B$3&lt;&gt;DATE(1900,1,0), Masterdata!$B$3&gt;$E23)), IF($H23&gt;TIME(0,0,0), "tast i næste felt", 0), IF($H23&gt;TIME(0,0,0), "Tast i næste felt", IF($H23&gt;0, 0, _xlfn.IFS($C23="lørdag", 0, $C23="søndag", 0, $F23="N", $V$8)))), "Tast i næste felt")</f>
        <v>0.30833333333333335</v>
      </c>
      <c r="H23" s="17"/>
      <c r="I23" s="16">
        <v>0</v>
      </c>
      <c r="J23" s="16">
        <v>0</v>
      </c>
      <c r="K23" s="50" t="str">
        <f>IF(OR(AND(Masterdata!$B$4&lt;&gt;DATE(1900,1,0),Masterdata!$B$4&lt;$E23),AND(Masterdata!$B$3&lt;&gt;DATE(1900,1,0),Masterdata!$B$3&gt;$E23)), "0:00", IF($H23&gt;TIME(0,0,0), IF($H23-$V$8&gt;=0, TEXT($H23-$V$8, "[t]:mm"), "-"&amp;TEXT(ABS($H23-$V$8), "[t]:mm")), IFERROR(IF($G23-$V$8=0, IF($G23-$V$8&gt;=0, TEXT($G23-$V$8, "[t]:mm"), "-"&amp;TEXT(ABS($G23-$V$8), "[t]:mm")), IF($J23-$I23&gt;=0, TEXT($J23-$I23, "[t]:mm"), "-"&amp;TEXT(ABS($J23-$I23), "[t]:mm"))), IF($J23-$I23-$V$8&gt;=0, TEXT($J23-$I23-$V$8, "[t]:mm"), "-"&amp;TEXT(ABS($J23-$I23-$V$8), "[t]:mm")))))</f>
        <v>0:00</v>
      </c>
      <c r="L23" s="54" t="str">
        <f t="shared" si="3"/>
        <v>0</v>
      </c>
      <c r="M23" s="58" t="str">
        <f t="shared" si="4"/>
        <v>0</v>
      </c>
      <c r="N23" s="51" t="str">
        <f t="shared" si="5"/>
        <v>00</v>
      </c>
      <c r="O23" s="57">
        <f t="shared" si="6"/>
        <v>0</v>
      </c>
      <c r="P23" s="6">
        <f t="shared" si="7"/>
        <v>0</v>
      </c>
      <c r="Q23" s="63"/>
    </row>
    <row r="24" spans="1:21" ht="15.75" x14ac:dyDescent="0.25">
      <c r="A24" s="12">
        <f t="shared" si="1"/>
        <v>3</v>
      </c>
      <c r="B24" s="13">
        <f t="shared" si="8"/>
        <v>45309</v>
      </c>
      <c r="C24" s="14" t="str" cm="1">
        <f t="array" ref="C24">_xlfn.SWITCH(WEEKDAY($D24, 2), 1, "mandag", 2, "tirsdag", 3, "onsdag", 4, "torsdag", 5, "fredag", 6, "lørdag", 7, "søndag")</f>
        <v>torsdag</v>
      </c>
      <c r="D24">
        <f t="shared" si="9"/>
        <v>5</v>
      </c>
      <c r="E24" s="42">
        <f t="shared" si="2"/>
        <v>45309</v>
      </c>
      <c r="F24" s="15" t="s">
        <v>21</v>
      </c>
      <c r="G24" s="17" cm="1">
        <f t="array" ref="G24">IFERROR(IF(OR(AND(Masterdata!$B$4&lt;&gt;DATE(1900,1,0), Masterdata!$B$4&lt;$E24), AND(Masterdata!$B$3&lt;&gt;DATE(1900,1,0), Masterdata!$B$3&gt;$E24)), IF($H24&gt;TIME(0,0,0), "tast i næste felt", 0), IF($H24&gt;TIME(0,0,0), "Tast i næste felt", IF($H24&gt;0, 0, _xlfn.IFS($C24="lørdag", 0, $C24="søndag", 0, $F24="N", $V$8)))), "Tast i næste felt")</f>
        <v>0.30833333333333335</v>
      </c>
      <c r="H24" s="17"/>
      <c r="I24" s="16">
        <v>0</v>
      </c>
      <c r="J24" s="16">
        <v>0</v>
      </c>
      <c r="K24" s="50" t="str">
        <f>IF(OR(AND(Masterdata!$B$4&lt;&gt;DATE(1900,1,0),Masterdata!$B$4&lt;$E24),AND(Masterdata!$B$3&lt;&gt;DATE(1900,1,0),Masterdata!$B$3&gt;$E24)), "0:00", IF($H24&gt;TIME(0,0,0), IF($H24-$V$8&gt;=0, TEXT($H24-$V$8, "[t]:mm"), "-"&amp;TEXT(ABS($H24-$V$8), "[t]:mm")), IFERROR(IF($G24-$V$8=0, IF($G24-$V$8&gt;=0, TEXT($G24-$V$8, "[t]:mm"), "-"&amp;TEXT(ABS($G24-$V$8), "[t]:mm")), IF($J24-$I24&gt;=0, TEXT($J24-$I24, "[t]:mm"), "-"&amp;TEXT(ABS($J24-$I24), "[t]:mm"))), IF($J24-$I24-$V$8&gt;=0, TEXT($J24-$I24-$V$8, "[t]:mm"), "-"&amp;TEXT(ABS($J24-$I24-$V$8), "[t]:mm")))))</f>
        <v>0:00</v>
      </c>
      <c r="L24" s="54" t="str">
        <f t="shared" si="3"/>
        <v>0</v>
      </c>
      <c r="M24" s="58" t="str">
        <f t="shared" si="4"/>
        <v>0</v>
      </c>
      <c r="N24" s="51" t="str">
        <f t="shared" si="5"/>
        <v>00</v>
      </c>
      <c r="O24" s="57">
        <f t="shared" si="6"/>
        <v>0</v>
      </c>
      <c r="P24" s="6">
        <f t="shared" si="7"/>
        <v>0</v>
      </c>
      <c r="Q24" s="63"/>
    </row>
    <row r="25" spans="1:21" ht="15.75" x14ac:dyDescent="0.25">
      <c r="A25" s="12">
        <f t="shared" si="1"/>
        <v>3</v>
      </c>
      <c r="B25" s="13">
        <f t="shared" si="8"/>
        <v>45310</v>
      </c>
      <c r="C25" s="14" t="str" cm="1">
        <f t="array" ref="C25">_xlfn.SWITCH(WEEKDAY($D25, 2), 1, "mandag", 2, "tirsdag", 3, "onsdag", 4, "torsdag", 5, "fredag", 6, "lørdag", 7, "søndag")</f>
        <v>fredag</v>
      </c>
      <c r="D25">
        <f t="shared" si="9"/>
        <v>6</v>
      </c>
      <c r="E25" s="42">
        <f t="shared" si="2"/>
        <v>45310</v>
      </c>
      <c r="F25" s="15" t="s">
        <v>21</v>
      </c>
      <c r="G25" s="17" cm="1">
        <f t="array" ref="G25">IFERROR(IF(OR(AND(Masterdata!$B$4&lt;&gt;DATE(1900,1,0), Masterdata!$B$4&lt;$E25), AND(Masterdata!$B$3&lt;&gt;DATE(1900,1,0), Masterdata!$B$3&gt;$E25)), IF($H25&gt;TIME(0,0,0), "tast i næste felt", 0), IF($H25&gt;TIME(0,0,0), "Tast i næste felt", IF($H25&gt;0, 0, _xlfn.IFS($C25="lørdag", 0, $C25="søndag", 0, $F25="N", $V$8)))), "Tast i næste felt")</f>
        <v>0.30833333333333335</v>
      </c>
      <c r="H25" s="17"/>
      <c r="I25" s="16">
        <v>0</v>
      </c>
      <c r="J25" s="16">
        <v>0</v>
      </c>
      <c r="K25" s="50" t="str">
        <f>IF(OR(AND(Masterdata!$B$4&lt;&gt;DATE(1900,1,0),Masterdata!$B$4&lt;$E25),AND(Masterdata!$B$3&lt;&gt;DATE(1900,1,0),Masterdata!$B$3&gt;$E25)), "0:00", IF($H25&gt;TIME(0,0,0), IF($H25-$V$8&gt;=0, TEXT($H25-$V$8, "[t]:mm"), "-"&amp;TEXT(ABS($H25-$V$8), "[t]:mm")), IFERROR(IF($G25-$V$8=0, IF($G25-$V$8&gt;=0, TEXT($G25-$V$8, "[t]:mm"), "-"&amp;TEXT(ABS($G25-$V$8), "[t]:mm")), IF($J25-$I25&gt;=0, TEXT($J25-$I25, "[t]:mm"), "-"&amp;TEXT(ABS($J25-$I25), "[t]:mm"))), IF($J25-$I25-$V$8&gt;=0, TEXT($J25-$I25-$V$8, "[t]:mm"), "-"&amp;TEXT(ABS($J25-$I25-$V$8), "[t]:mm")))))</f>
        <v>0:00</v>
      </c>
      <c r="L25" s="54" t="str">
        <f t="shared" si="3"/>
        <v>0</v>
      </c>
      <c r="M25" s="58" t="str">
        <f t="shared" si="4"/>
        <v>0</v>
      </c>
      <c r="N25" s="51" t="str">
        <f t="shared" si="5"/>
        <v>00</v>
      </c>
      <c r="O25" s="57">
        <f t="shared" si="6"/>
        <v>0</v>
      </c>
      <c r="P25" s="6">
        <f t="shared" si="7"/>
        <v>0</v>
      </c>
      <c r="Q25" s="63"/>
    </row>
    <row r="26" spans="1:21" ht="15.75" x14ac:dyDescent="0.25">
      <c r="A26" s="12">
        <f t="shared" si="1"/>
        <v>3</v>
      </c>
      <c r="B26" s="13">
        <f t="shared" si="8"/>
        <v>45311</v>
      </c>
      <c r="C26" s="14" t="str" cm="1">
        <f t="array" ref="C26">_xlfn.SWITCH(WEEKDAY($D26, 2), 1, "mandag", 2, "tirsdag", 3, "onsdag", 4, "torsdag", 5, "fredag", 6, "lørdag", 7, "søndag")</f>
        <v>lørdag</v>
      </c>
      <c r="D26">
        <f t="shared" si="9"/>
        <v>7</v>
      </c>
      <c r="E26" s="42">
        <f t="shared" si="2"/>
        <v>45311</v>
      </c>
      <c r="F26" s="15" t="s">
        <v>21</v>
      </c>
      <c r="G26" s="17" cm="1">
        <f t="array" ref="G26">IFERROR(IF(OR(AND(Masterdata!$B$4&lt;&gt;DATE(1900,1,0), Masterdata!$B$4&lt;$E26), AND(Masterdata!$B$3&lt;&gt;DATE(1900,1,0), Masterdata!$B$3&gt;$E26)), IF($H26&gt;TIME(0,0,0), "tast i næste felt", 0), IF($H26&gt;TIME(0,0,0), "Tast i næste felt", IF($H26&gt;0, 0, _xlfn.IFS($C26="lørdag", 0, $C26="søndag", 0, $F26="N", $V$8)))), "Tast i næste felt")</f>
        <v>0</v>
      </c>
      <c r="H26" s="17"/>
      <c r="I26" s="16">
        <v>0</v>
      </c>
      <c r="J26" s="16">
        <v>0</v>
      </c>
      <c r="K26" s="50" t="str">
        <f>IF(OR(AND(Masterdata!$B$4&lt;&gt;DATE(1900,1,0),Masterdata!$B$4&lt;$E26),AND(Masterdata!$B$3&lt;&gt;DATE(1900,1,0),Masterdata!$B$3&gt;$E26)), "0:00", IF($H26&gt;TIME(0,0,0), IF($H26-$V$8&gt;=0, TEXT($H26-$V$8, "[t]:mm"), "-"&amp;TEXT(ABS($H26-$V$8), "[t]:mm")), IFERROR(IF($G26-$V$8=0, IF($G26-$V$8&gt;=0, TEXT($G26-$V$8, "[t]:mm"), "-"&amp;TEXT(ABS($G26-$V$8), "[t]:mm")), IF($J26-$I26&gt;=0, TEXT($J26-$I26, "[t]:mm"), "-"&amp;TEXT(ABS($J26-$I26), "[t]:mm"))), IF($J26-$I26-$V$8&gt;=0, TEXT($J26-$I26-$V$8, "[t]:mm"), "-"&amp;TEXT(ABS($J26-$I26-$V$8), "[t]:mm")))))</f>
        <v>0:00</v>
      </c>
      <c r="L26" s="54" t="str">
        <f t="shared" si="3"/>
        <v>0</v>
      </c>
      <c r="M26" s="58" t="str">
        <f t="shared" si="4"/>
        <v>0</v>
      </c>
      <c r="N26" s="51" t="str">
        <f t="shared" si="5"/>
        <v>00</v>
      </c>
      <c r="O26" s="57">
        <f t="shared" si="6"/>
        <v>0</v>
      </c>
      <c r="P26" s="6">
        <f t="shared" si="7"/>
        <v>0</v>
      </c>
      <c r="Q26" s="63"/>
    </row>
    <row r="27" spans="1:21" ht="15.75" x14ac:dyDescent="0.25">
      <c r="A27" s="12">
        <f t="shared" si="1"/>
        <v>3</v>
      </c>
      <c r="B27" s="13">
        <f t="shared" si="8"/>
        <v>45312</v>
      </c>
      <c r="C27" s="14" t="str" cm="1">
        <f t="array" ref="C27">_xlfn.SWITCH(WEEKDAY($D27, 2), 1, "mandag", 2, "tirsdag", 3, "onsdag", 4, "torsdag", 5, "fredag", 6, "lørdag", 7, "søndag")</f>
        <v>søndag</v>
      </c>
      <c r="D27">
        <f t="shared" si="9"/>
        <v>8</v>
      </c>
      <c r="E27" s="42">
        <f t="shared" si="2"/>
        <v>45312</v>
      </c>
      <c r="F27" s="15" t="s">
        <v>21</v>
      </c>
      <c r="G27" s="17" cm="1">
        <f t="array" ref="G27">IFERROR(IF(OR(AND(Masterdata!$B$4&lt;&gt;DATE(1900,1,0), Masterdata!$B$4&lt;$E27), AND(Masterdata!$B$3&lt;&gt;DATE(1900,1,0), Masterdata!$B$3&gt;$E27)), IF($H27&gt;TIME(0,0,0), "tast i næste felt", 0), IF($H27&gt;TIME(0,0,0), "Tast i næste felt", IF($H27&gt;0, 0, _xlfn.IFS($C27="lørdag", 0, $C27="søndag", 0, $F27="N", $V$8)))), "Tast i næste felt")</f>
        <v>0</v>
      </c>
      <c r="H27" s="17"/>
      <c r="I27" s="16">
        <v>0</v>
      </c>
      <c r="J27" s="16">
        <v>0</v>
      </c>
      <c r="K27" s="50" t="str">
        <f>IF(OR(AND(Masterdata!$B$4&lt;&gt;DATE(1900,1,0),Masterdata!$B$4&lt;$E27),AND(Masterdata!$B$3&lt;&gt;DATE(1900,1,0),Masterdata!$B$3&gt;$E27)), "0:00", IF($H27&gt;TIME(0,0,0), IF($H27-$V$8&gt;=0, TEXT($H27-$V$8, "[t]:mm"), "-"&amp;TEXT(ABS($H27-$V$8), "[t]:mm")), IFERROR(IF($G27-$V$8=0, IF($G27-$V$8&gt;=0, TEXT($G27-$V$8, "[t]:mm"), "-"&amp;TEXT(ABS($G27-$V$8), "[t]:mm")), IF($J27-$I27&gt;=0, TEXT($J27-$I27, "[t]:mm"), "-"&amp;TEXT(ABS($J27-$I27), "[t]:mm"))), IF($J27-$I27-$V$8&gt;=0, TEXT($J27-$I27-$V$8, "[t]:mm"), "-"&amp;TEXT(ABS($J27-$I27-$V$8), "[t]:mm")))))</f>
        <v>0:00</v>
      </c>
      <c r="L27" s="54" t="str">
        <f t="shared" si="3"/>
        <v>0</v>
      </c>
      <c r="M27" s="58" t="str">
        <f t="shared" si="4"/>
        <v>0</v>
      </c>
      <c r="N27" s="51" t="str">
        <f t="shared" si="5"/>
        <v>00</v>
      </c>
      <c r="O27" s="57">
        <f t="shared" si="6"/>
        <v>0</v>
      </c>
      <c r="P27" s="6">
        <f t="shared" si="7"/>
        <v>0</v>
      </c>
      <c r="Q27" s="63"/>
    </row>
    <row r="28" spans="1:21" ht="15.75" x14ac:dyDescent="0.25">
      <c r="A28" s="12">
        <f t="shared" si="1"/>
        <v>4</v>
      </c>
      <c r="B28" s="13">
        <f t="shared" si="8"/>
        <v>45313</v>
      </c>
      <c r="C28" s="14" t="str" cm="1">
        <f t="array" ref="C28">_xlfn.SWITCH(WEEKDAY($D28, 2), 1, "mandag", 2, "tirsdag", 3, "onsdag", 4, "torsdag", 5, "fredag", 6, "lørdag", 7, "søndag")</f>
        <v>mandag</v>
      </c>
      <c r="D28">
        <f t="shared" si="9"/>
        <v>2</v>
      </c>
      <c r="E28" s="42">
        <f t="shared" si="2"/>
        <v>45313</v>
      </c>
      <c r="F28" s="15" t="s">
        <v>21</v>
      </c>
      <c r="G28" s="17" cm="1">
        <f t="array" ref="G28">IFERROR(IF(OR(AND(Masterdata!$B$4&lt;&gt;DATE(1900,1,0), Masterdata!$B$4&lt;$E28), AND(Masterdata!$B$3&lt;&gt;DATE(1900,1,0), Masterdata!$B$3&gt;$E28)), IF($H28&gt;TIME(0,0,0), "tast i næste felt", 0), IF($H28&gt;TIME(0,0,0), "Tast i næste felt", IF($H28&gt;0, 0, _xlfn.IFS($C28="lørdag", 0, $C28="søndag", 0, $F28="N", $V$8)))), "Tast i næste felt")</f>
        <v>0.30833333333333335</v>
      </c>
      <c r="H28" s="17"/>
      <c r="I28" s="16">
        <v>0</v>
      </c>
      <c r="J28" s="16">
        <v>0</v>
      </c>
      <c r="K28" s="50" t="str">
        <f>IF(OR(AND(Masterdata!$B$4&lt;&gt;DATE(1900,1,0),Masterdata!$B$4&lt;$E28),AND(Masterdata!$B$3&lt;&gt;DATE(1900,1,0),Masterdata!$B$3&gt;$E28)), "0:00", IF($H28&gt;TIME(0,0,0), IF($H28-$V$8&gt;=0, TEXT($H28-$V$8, "[t]:mm"), "-"&amp;TEXT(ABS($H28-$V$8), "[t]:mm")), IFERROR(IF($G28-$V$8=0, IF($G28-$V$8&gt;=0, TEXT($G28-$V$8, "[t]:mm"), "-"&amp;TEXT(ABS($G28-$V$8), "[t]:mm")), IF($J28-$I28&gt;=0, TEXT($J28-$I28, "[t]:mm"), "-"&amp;TEXT(ABS($J28-$I28), "[t]:mm"))), IF($J28-$I28-$V$8&gt;=0, TEXT($J28-$I28-$V$8, "[t]:mm"), "-"&amp;TEXT(ABS($J28-$I28-$V$8), "[t]:mm")))))</f>
        <v>0:00</v>
      </c>
      <c r="L28" s="54" t="str">
        <f t="shared" si="3"/>
        <v>0</v>
      </c>
      <c r="M28" s="58" t="str">
        <f t="shared" si="4"/>
        <v>0</v>
      </c>
      <c r="N28" s="51" t="str">
        <f t="shared" si="5"/>
        <v>00</v>
      </c>
      <c r="O28" s="57">
        <f t="shared" si="6"/>
        <v>0</v>
      </c>
      <c r="P28" s="6">
        <f t="shared" si="7"/>
        <v>0</v>
      </c>
      <c r="Q28" s="63"/>
    </row>
    <row r="29" spans="1:21" ht="15.75" x14ac:dyDescent="0.25">
      <c r="A29" s="12">
        <f t="shared" si="1"/>
        <v>4</v>
      </c>
      <c r="B29" s="13">
        <f t="shared" si="8"/>
        <v>45314</v>
      </c>
      <c r="C29" s="14" t="str" cm="1">
        <f t="array" ref="C29">_xlfn.SWITCH(WEEKDAY($D29, 2), 1, "mandag", 2, "tirsdag", 3, "onsdag", 4, "torsdag", 5, "fredag", 6, "lørdag", 7, "søndag")</f>
        <v>tirsdag</v>
      </c>
      <c r="D29">
        <f t="shared" si="9"/>
        <v>3</v>
      </c>
      <c r="E29" s="42">
        <f t="shared" si="2"/>
        <v>45314</v>
      </c>
      <c r="F29" s="15" t="s">
        <v>21</v>
      </c>
      <c r="G29" s="17" cm="1">
        <f t="array" ref="G29">IFERROR(IF(OR(AND(Masterdata!$B$4&lt;&gt;DATE(1900,1,0), Masterdata!$B$4&lt;$E29), AND(Masterdata!$B$3&lt;&gt;DATE(1900,1,0), Masterdata!$B$3&gt;$E29)), IF($H29&gt;TIME(0,0,0), "tast i næste felt", 0), IF($H29&gt;TIME(0,0,0), "Tast i næste felt", IF($H29&gt;0, 0, _xlfn.IFS($C29="lørdag", 0, $C29="søndag", 0, $F29="N", $V$8)))), "Tast i næste felt")</f>
        <v>0.30833333333333335</v>
      </c>
      <c r="H29" s="17"/>
      <c r="I29" s="16">
        <v>0</v>
      </c>
      <c r="J29" s="16">
        <v>0</v>
      </c>
      <c r="K29" s="50" t="str">
        <f>IF(OR(AND(Masterdata!$B$4&lt;&gt;DATE(1900,1,0),Masterdata!$B$4&lt;$E29),AND(Masterdata!$B$3&lt;&gt;DATE(1900,1,0),Masterdata!$B$3&gt;$E29)), "0:00", IF($H29&gt;TIME(0,0,0), IF($H29-$V$8&gt;=0, TEXT($H29-$V$8, "[t]:mm"), "-"&amp;TEXT(ABS($H29-$V$8), "[t]:mm")), IFERROR(IF($G29-$V$8=0, IF($G29-$V$8&gt;=0, TEXT($G29-$V$8, "[t]:mm"), "-"&amp;TEXT(ABS($G29-$V$8), "[t]:mm")), IF($J29-$I29&gt;=0, TEXT($J29-$I29, "[t]:mm"), "-"&amp;TEXT(ABS($J29-$I29), "[t]:mm"))), IF($J29-$I29-$V$8&gt;=0, TEXT($J29-$I29-$V$8, "[t]:mm"), "-"&amp;TEXT(ABS($J29-$I29-$V$8), "[t]:mm")))))</f>
        <v>0:00</v>
      </c>
      <c r="L29" s="54" t="str">
        <f t="shared" si="3"/>
        <v>0</v>
      </c>
      <c r="M29" s="58" t="str">
        <f t="shared" si="4"/>
        <v>0</v>
      </c>
      <c r="N29" s="51" t="str">
        <f t="shared" si="5"/>
        <v>00</v>
      </c>
      <c r="O29" s="57">
        <f t="shared" si="6"/>
        <v>0</v>
      </c>
      <c r="P29" s="6">
        <f t="shared" si="7"/>
        <v>0</v>
      </c>
      <c r="Q29" s="63"/>
    </row>
    <row r="30" spans="1:21" ht="15.75" x14ac:dyDescent="0.25">
      <c r="A30" s="12">
        <f t="shared" si="1"/>
        <v>4</v>
      </c>
      <c r="B30" s="13">
        <f t="shared" si="8"/>
        <v>45315</v>
      </c>
      <c r="C30" s="14" t="str" cm="1">
        <f t="array" ref="C30">_xlfn.SWITCH(WEEKDAY($D30, 2), 1, "mandag", 2, "tirsdag", 3, "onsdag", 4, "torsdag", 5, "fredag", 6, "lørdag", 7, "søndag")</f>
        <v>onsdag</v>
      </c>
      <c r="D30">
        <f t="shared" si="9"/>
        <v>4</v>
      </c>
      <c r="E30" s="42">
        <f t="shared" si="2"/>
        <v>45315</v>
      </c>
      <c r="F30" s="15" t="s">
        <v>21</v>
      </c>
      <c r="G30" s="17" cm="1">
        <f t="array" ref="G30">IFERROR(IF(OR(AND(Masterdata!$B$4&lt;&gt;DATE(1900,1,0), Masterdata!$B$4&lt;$E30), AND(Masterdata!$B$3&lt;&gt;DATE(1900,1,0), Masterdata!$B$3&gt;$E30)), IF($H30&gt;TIME(0,0,0), "tast i næste felt", 0), IF($H30&gt;TIME(0,0,0), "Tast i næste felt", IF($H30&gt;0, 0, _xlfn.IFS($C30="lørdag", 0, $C30="søndag", 0, $F30="N", $V$8)))), "Tast i næste felt")</f>
        <v>0.30833333333333335</v>
      </c>
      <c r="H30" s="17"/>
      <c r="I30" s="16">
        <v>0</v>
      </c>
      <c r="J30" s="16">
        <v>0</v>
      </c>
      <c r="K30" s="50" t="str">
        <f>IF(OR(AND(Masterdata!$B$4&lt;&gt;DATE(1900,1,0),Masterdata!$B$4&lt;$E30),AND(Masterdata!$B$3&lt;&gt;DATE(1900,1,0),Masterdata!$B$3&gt;$E30)), "0:00", IF($H30&gt;TIME(0,0,0), IF($H30-$V$8&gt;=0, TEXT($H30-$V$8, "[t]:mm"), "-"&amp;TEXT(ABS($H30-$V$8), "[t]:mm")), IFERROR(IF($G30-$V$8=0, IF($G30-$V$8&gt;=0, TEXT($G30-$V$8, "[t]:mm"), "-"&amp;TEXT(ABS($G30-$V$8), "[t]:mm")), IF($J30-$I30&gt;=0, TEXT($J30-$I30, "[t]:mm"), "-"&amp;TEXT(ABS($J30-$I30), "[t]:mm"))), IF($J30-$I30-$V$8&gt;=0, TEXT($J30-$I30-$V$8, "[t]:mm"), "-"&amp;TEXT(ABS($J30-$I30-$V$8), "[t]:mm")))))</f>
        <v>0:00</v>
      </c>
      <c r="L30" s="54" t="str">
        <f t="shared" si="3"/>
        <v>0</v>
      </c>
      <c r="M30" s="58" t="str">
        <f t="shared" si="4"/>
        <v>0</v>
      </c>
      <c r="N30" s="51" t="str">
        <f t="shared" si="5"/>
        <v>00</v>
      </c>
      <c r="O30" s="57">
        <f t="shared" si="6"/>
        <v>0</v>
      </c>
      <c r="P30" s="6">
        <f t="shared" si="7"/>
        <v>0</v>
      </c>
      <c r="Q30" s="63"/>
    </row>
    <row r="31" spans="1:21" ht="15.75" x14ac:dyDescent="0.25">
      <c r="A31" s="12">
        <f t="shared" si="1"/>
        <v>4</v>
      </c>
      <c r="B31" s="13">
        <f t="shared" si="8"/>
        <v>45316</v>
      </c>
      <c r="C31" s="14" t="str" cm="1">
        <f t="array" ref="C31">_xlfn.SWITCH(WEEKDAY($D31, 2), 1, "mandag", 2, "tirsdag", 3, "onsdag", 4, "torsdag", 5, "fredag", 6, "lørdag", 7, "søndag")</f>
        <v>torsdag</v>
      </c>
      <c r="D31">
        <f t="shared" si="9"/>
        <v>5</v>
      </c>
      <c r="E31" s="42">
        <f t="shared" si="2"/>
        <v>45316</v>
      </c>
      <c r="F31" s="15" t="s">
        <v>21</v>
      </c>
      <c r="G31" s="17" cm="1">
        <f t="array" ref="G31">IFERROR(IF(OR(AND(Masterdata!$B$4&lt;&gt;DATE(1900,1,0), Masterdata!$B$4&lt;$E31), AND(Masterdata!$B$3&lt;&gt;DATE(1900,1,0), Masterdata!$B$3&gt;$E31)), IF($H31&gt;TIME(0,0,0), "tast i næste felt", 0), IF($H31&gt;TIME(0,0,0), "Tast i næste felt", IF($H31&gt;0, 0, _xlfn.IFS($C31="lørdag", 0, $C31="søndag", 0, $F31="N", $V$8)))), "Tast i næste felt")</f>
        <v>0.30833333333333335</v>
      </c>
      <c r="H31" s="17"/>
      <c r="I31" s="16">
        <v>0</v>
      </c>
      <c r="J31" s="16">
        <v>0</v>
      </c>
      <c r="K31" s="50" t="str">
        <f>IF(OR(AND(Masterdata!$B$4&lt;&gt;DATE(1900,1,0),Masterdata!$B$4&lt;$E31),AND(Masterdata!$B$3&lt;&gt;DATE(1900,1,0),Masterdata!$B$3&gt;$E31)), "0:00", IF($H31&gt;TIME(0,0,0), IF($H31-$V$8&gt;=0, TEXT($H31-$V$8, "[t]:mm"), "-"&amp;TEXT(ABS($H31-$V$8), "[t]:mm")), IFERROR(IF($G31-$V$8=0, IF($G31-$V$8&gt;=0, TEXT($G31-$V$8, "[t]:mm"), "-"&amp;TEXT(ABS($G31-$V$8), "[t]:mm")), IF($J31-$I31&gt;=0, TEXT($J31-$I31, "[t]:mm"), "-"&amp;TEXT(ABS($J31-$I31), "[t]:mm"))), IF($J31-$I31-$V$8&gt;=0, TEXT($J31-$I31-$V$8, "[t]:mm"), "-"&amp;TEXT(ABS($J31-$I31-$V$8), "[t]:mm")))))</f>
        <v>0:00</v>
      </c>
      <c r="L31" s="54" t="str">
        <f t="shared" si="3"/>
        <v>0</v>
      </c>
      <c r="M31" s="58" t="str">
        <f t="shared" si="4"/>
        <v>0</v>
      </c>
      <c r="N31" s="51" t="str">
        <f t="shared" si="5"/>
        <v>00</v>
      </c>
      <c r="O31" s="57">
        <f t="shared" si="6"/>
        <v>0</v>
      </c>
      <c r="P31" s="6">
        <f t="shared" si="7"/>
        <v>0</v>
      </c>
      <c r="Q31" s="63"/>
    </row>
    <row r="32" spans="1:21" ht="15.75" x14ac:dyDescent="0.25">
      <c r="A32" s="12">
        <f t="shared" si="1"/>
        <v>4</v>
      </c>
      <c r="B32" s="13">
        <f t="shared" si="8"/>
        <v>45317</v>
      </c>
      <c r="C32" s="14" t="str" cm="1">
        <f t="array" ref="C32">_xlfn.SWITCH(WEEKDAY($D32, 2), 1, "mandag", 2, "tirsdag", 3, "onsdag", 4, "torsdag", 5, "fredag", 6, "lørdag", 7, "søndag")</f>
        <v>fredag</v>
      </c>
      <c r="D32">
        <f t="shared" si="9"/>
        <v>6</v>
      </c>
      <c r="E32" s="42">
        <f t="shared" si="2"/>
        <v>45317</v>
      </c>
      <c r="F32" s="15" t="s">
        <v>21</v>
      </c>
      <c r="G32" s="17" cm="1">
        <f t="array" ref="G32">IFERROR(IF(OR(AND(Masterdata!$B$4&lt;&gt;DATE(1900,1,0), Masterdata!$B$4&lt;$E32), AND(Masterdata!$B$3&lt;&gt;DATE(1900,1,0), Masterdata!$B$3&gt;$E32)), IF($H32&gt;TIME(0,0,0), "tast i næste felt", 0), IF($H32&gt;TIME(0,0,0), "Tast i næste felt", IF($H32&gt;0, 0, _xlfn.IFS($C32="lørdag", 0, $C32="søndag", 0, $F32="N", $V$8)))), "Tast i næste felt")</f>
        <v>0.30833333333333335</v>
      </c>
      <c r="H32" s="17"/>
      <c r="I32" s="16">
        <v>0</v>
      </c>
      <c r="J32" s="16">
        <v>0</v>
      </c>
      <c r="K32" s="50" t="str">
        <f>IF(OR(AND(Masterdata!$B$4&lt;&gt;DATE(1900,1,0),Masterdata!$B$4&lt;$E32),AND(Masterdata!$B$3&lt;&gt;DATE(1900,1,0),Masterdata!$B$3&gt;$E32)), "0:00", IF($H32&gt;TIME(0,0,0), IF($H32-$V$8&gt;=0, TEXT($H32-$V$8, "[t]:mm"), "-"&amp;TEXT(ABS($H32-$V$8), "[t]:mm")), IFERROR(IF($G32-$V$8=0, IF($G32-$V$8&gt;=0, TEXT($G32-$V$8, "[t]:mm"), "-"&amp;TEXT(ABS($G32-$V$8), "[t]:mm")), IF($J32-$I32&gt;=0, TEXT($J32-$I32, "[t]:mm"), "-"&amp;TEXT(ABS($J32-$I32), "[t]:mm"))), IF($J32-$I32-$V$8&gt;=0, TEXT($J32-$I32-$V$8, "[t]:mm"), "-"&amp;TEXT(ABS($J32-$I32-$V$8), "[t]:mm")))))</f>
        <v>0:00</v>
      </c>
      <c r="L32" s="54" t="str">
        <f t="shared" si="3"/>
        <v>0</v>
      </c>
      <c r="M32" s="58" t="str">
        <f t="shared" si="4"/>
        <v>0</v>
      </c>
      <c r="N32" s="51" t="str">
        <f t="shared" si="5"/>
        <v>00</v>
      </c>
      <c r="O32" s="57">
        <f t="shared" si="6"/>
        <v>0</v>
      </c>
      <c r="P32" s="6">
        <f t="shared" si="7"/>
        <v>0</v>
      </c>
      <c r="Q32" s="63"/>
    </row>
    <row r="33" spans="1:17" ht="15.75" x14ac:dyDescent="0.25">
      <c r="A33" s="12">
        <f t="shared" si="1"/>
        <v>4</v>
      </c>
      <c r="B33" s="13">
        <f t="shared" si="8"/>
        <v>45318</v>
      </c>
      <c r="C33" s="14" t="str" cm="1">
        <f t="array" ref="C33">_xlfn.SWITCH(WEEKDAY($D33, 2), 1, "mandag", 2, "tirsdag", 3, "onsdag", 4, "torsdag", 5, "fredag", 6, "lørdag", 7, "søndag")</f>
        <v>lørdag</v>
      </c>
      <c r="D33">
        <f t="shared" si="9"/>
        <v>7</v>
      </c>
      <c r="E33" s="42">
        <f t="shared" si="2"/>
        <v>45318</v>
      </c>
      <c r="F33" s="15" t="s">
        <v>21</v>
      </c>
      <c r="G33" s="17" cm="1">
        <f t="array" ref="G33">IFERROR(IF(OR(AND(Masterdata!$B$4&lt;&gt;DATE(1900,1,0), Masterdata!$B$4&lt;$E33), AND(Masterdata!$B$3&lt;&gt;DATE(1900,1,0), Masterdata!$B$3&gt;$E33)), IF($H33&gt;TIME(0,0,0), "tast i næste felt", 0), IF($H33&gt;TIME(0,0,0), "Tast i næste felt", IF($H33&gt;0, 0, _xlfn.IFS($C33="lørdag", 0, $C33="søndag", 0, $F33="N", $V$8)))), "Tast i næste felt")</f>
        <v>0</v>
      </c>
      <c r="H33" s="17"/>
      <c r="I33" s="16">
        <v>0</v>
      </c>
      <c r="J33" s="16">
        <v>0</v>
      </c>
      <c r="K33" s="50" t="str">
        <f>IF(OR(AND(Masterdata!$B$4&lt;&gt;DATE(1900,1,0),Masterdata!$B$4&lt;$E33),AND(Masterdata!$B$3&lt;&gt;DATE(1900,1,0),Masterdata!$B$3&gt;$E33)), "0:00", IF($H33&gt;TIME(0,0,0), IF($H33-$V$8&gt;=0, TEXT($H33-$V$8, "[t]:mm"), "-"&amp;TEXT(ABS($H33-$V$8), "[t]:mm")), IFERROR(IF($G33-$V$8=0, IF($G33-$V$8&gt;=0, TEXT($G33-$V$8, "[t]:mm"), "-"&amp;TEXT(ABS($G33-$V$8), "[t]:mm")), IF($J33-$I33&gt;=0, TEXT($J33-$I33, "[t]:mm"), "-"&amp;TEXT(ABS($J33-$I33), "[t]:mm"))), IF($J33-$I33-$V$8&gt;=0, TEXT($J33-$I33-$V$8, "[t]:mm"), "-"&amp;TEXT(ABS($J33-$I33-$V$8), "[t]:mm")))))</f>
        <v>0:00</v>
      </c>
      <c r="L33" s="54" t="str">
        <f t="shared" si="3"/>
        <v>0</v>
      </c>
      <c r="M33" s="58" t="str">
        <f t="shared" si="4"/>
        <v>0</v>
      </c>
      <c r="N33" s="51" t="str">
        <f t="shared" si="5"/>
        <v>00</v>
      </c>
      <c r="O33" s="57">
        <f t="shared" si="6"/>
        <v>0</v>
      </c>
      <c r="P33" s="6">
        <f t="shared" si="7"/>
        <v>0</v>
      </c>
      <c r="Q33" s="63"/>
    </row>
    <row r="34" spans="1:17" ht="15.75" x14ac:dyDescent="0.25">
      <c r="A34" s="12">
        <f t="shared" si="1"/>
        <v>4</v>
      </c>
      <c r="B34" s="13">
        <f t="shared" si="8"/>
        <v>45319</v>
      </c>
      <c r="C34" s="14" t="str" cm="1">
        <f t="array" ref="C34">_xlfn.SWITCH(WEEKDAY($D34, 2), 1, "mandag", 2, "tirsdag", 3, "onsdag", 4, "torsdag", 5, "fredag", 6, "lørdag", 7, "søndag")</f>
        <v>søndag</v>
      </c>
      <c r="D34">
        <f t="shared" si="9"/>
        <v>8</v>
      </c>
      <c r="E34" s="42">
        <f t="shared" si="2"/>
        <v>45319</v>
      </c>
      <c r="F34" s="15" t="s">
        <v>21</v>
      </c>
      <c r="G34" s="17" cm="1">
        <f t="array" ref="G34">IFERROR(IF(OR(AND(Masterdata!$B$4&lt;&gt;DATE(1900,1,0), Masterdata!$B$4&lt;$E34), AND(Masterdata!$B$3&lt;&gt;DATE(1900,1,0), Masterdata!$B$3&gt;$E34)), IF($H34&gt;TIME(0,0,0), "tast i næste felt", 0), IF($H34&gt;TIME(0,0,0), "Tast i næste felt", IF($H34&gt;0, 0, _xlfn.IFS($C34="lørdag", 0, $C34="søndag", 0, $F34="N", $V$8)))), "Tast i næste felt")</f>
        <v>0</v>
      </c>
      <c r="H34" s="17"/>
      <c r="I34" s="16">
        <v>0</v>
      </c>
      <c r="J34" s="16">
        <v>0</v>
      </c>
      <c r="K34" s="50" t="str">
        <f>IF(OR(AND(Masterdata!$B$4&lt;&gt;DATE(1900,1,0),Masterdata!$B$4&lt;$E34),AND(Masterdata!$B$3&lt;&gt;DATE(1900,1,0),Masterdata!$B$3&gt;$E34)), "0:00", IF($H34&gt;TIME(0,0,0), IF($H34-$V$8&gt;=0, TEXT($H34-$V$8, "[t]:mm"), "-"&amp;TEXT(ABS($H34-$V$8), "[t]:mm")), IFERROR(IF($G34-$V$8=0, IF($G34-$V$8&gt;=0, TEXT($G34-$V$8, "[t]:mm"), "-"&amp;TEXT(ABS($G34-$V$8), "[t]:mm")), IF($J34-$I34&gt;=0, TEXT($J34-$I34, "[t]:mm"), "-"&amp;TEXT(ABS($J34-$I34), "[t]:mm"))), IF($J34-$I34-$V$8&gt;=0, TEXT($J34-$I34-$V$8, "[t]:mm"), "-"&amp;TEXT(ABS($J34-$I34-$V$8), "[t]:mm")))))</f>
        <v>0:00</v>
      </c>
      <c r="L34" s="54" t="str">
        <f t="shared" si="3"/>
        <v>0</v>
      </c>
      <c r="M34" s="58" t="str">
        <f t="shared" si="4"/>
        <v>0</v>
      </c>
      <c r="N34" s="51" t="str">
        <f t="shared" si="5"/>
        <v>00</v>
      </c>
      <c r="O34" s="57">
        <f t="shared" si="6"/>
        <v>0</v>
      </c>
      <c r="P34" s="6">
        <f t="shared" si="7"/>
        <v>0</v>
      </c>
      <c r="Q34" s="63"/>
    </row>
    <row r="35" spans="1:17" ht="15.75" x14ac:dyDescent="0.25">
      <c r="A35" s="12">
        <f t="shared" si="1"/>
        <v>5</v>
      </c>
      <c r="B35" s="13">
        <f t="shared" si="8"/>
        <v>45320</v>
      </c>
      <c r="C35" s="14" t="str" cm="1">
        <f t="array" ref="C35">_xlfn.SWITCH(WEEKDAY($D35, 2), 1, "mandag", 2, "tirsdag", 3, "onsdag", 4, "torsdag", 5, "fredag", 6, "lørdag", 7, "søndag")</f>
        <v>mandag</v>
      </c>
      <c r="D35">
        <f t="shared" si="9"/>
        <v>2</v>
      </c>
      <c r="E35" s="42">
        <f t="shared" si="2"/>
        <v>45320</v>
      </c>
      <c r="F35" s="15" t="s">
        <v>21</v>
      </c>
      <c r="G35" s="17" cm="1">
        <f t="array" ref="G35">IFERROR(IF(OR(AND(Masterdata!$B$4&lt;&gt;DATE(1900,1,0), Masterdata!$B$4&lt;$E35), AND(Masterdata!$B$3&lt;&gt;DATE(1900,1,0), Masterdata!$B$3&gt;$E35)), IF($H35&gt;TIME(0,0,0), "tast i næste felt", 0), IF($H35&gt;TIME(0,0,0), "Tast i næste felt", IF($H35&gt;0, 0, _xlfn.IFS($C35="lørdag", 0, $C35="søndag", 0, $F35="N", $V$8)))), "Tast i næste felt")</f>
        <v>0.30833333333333335</v>
      </c>
      <c r="H35" s="17"/>
      <c r="I35" s="16">
        <v>0</v>
      </c>
      <c r="J35" s="16">
        <v>0</v>
      </c>
      <c r="K35" s="50" t="str">
        <f>IF(OR(AND(Masterdata!$B$4&lt;&gt;DATE(1900,1,0),Masterdata!$B$4&lt;$E35),AND(Masterdata!$B$3&lt;&gt;DATE(1900,1,0),Masterdata!$B$3&gt;$E35)), "0:00", IF($H35&gt;TIME(0,0,0), IF($H35-$V$8&gt;=0, TEXT($H35-$V$8, "[t]:mm"), "-"&amp;TEXT(ABS($H35-$V$8), "[t]:mm")), IFERROR(IF($G35-$V$8=0, IF($G35-$V$8&gt;=0, TEXT($G35-$V$8, "[t]:mm"), "-"&amp;TEXT(ABS($G35-$V$8), "[t]:mm")), IF($J35-$I35&gt;=0, TEXT($J35-$I35, "[t]:mm"), "-"&amp;TEXT(ABS($J35-$I35), "[t]:mm"))), IF($J35-$I35-$V$8&gt;=0, TEXT($J35-$I35-$V$8, "[t]:mm"), "-"&amp;TEXT(ABS($J35-$I35-$V$8), "[t]:mm")))))</f>
        <v>0:00</v>
      </c>
      <c r="L35" s="54" t="str">
        <f t="shared" si="3"/>
        <v>0</v>
      </c>
      <c r="M35" s="58" t="str">
        <f t="shared" si="4"/>
        <v>0</v>
      </c>
      <c r="N35" s="51" t="str">
        <f t="shared" si="5"/>
        <v>00</v>
      </c>
      <c r="O35" s="57">
        <f t="shared" si="6"/>
        <v>0</v>
      </c>
      <c r="P35" s="6">
        <f t="shared" si="7"/>
        <v>0</v>
      </c>
      <c r="Q35" s="63"/>
    </row>
    <row r="36" spans="1:17" ht="15.75" x14ac:dyDescent="0.25">
      <c r="A36" s="12">
        <f t="shared" si="1"/>
        <v>5</v>
      </c>
      <c r="B36" s="13">
        <f t="shared" ref="B36:B37" si="10">B35+1</f>
        <v>45321</v>
      </c>
      <c r="C36" s="14" t="str" cm="1">
        <f t="array" ref="C36">_xlfn.SWITCH(WEEKDAY($D36, 2), 1, "mandag", 2, "tirsdag", 3, "onsdag", 4, "torsdag", 5, "fredag", 6, "lørdag", 7, "søndag")</f>
        <v>tirsdag</v>
      </c>
      <c r="D36">
        <f t="shared" si="9"/>
        <v>3</v>
      </c>
      <c r="E36" s="42">
        <f t="shared" si="2"/>
        <v>45321</v>
      </c>
      <c r="F36" s="15" t="s">
        <v>21</v>
      </c>
      <c r="G36" s="17" cm="1">
        <f t="array" ref="G36">IFERROR(IF(OR(AND(Masterdata!$B$4&lt;&gt;DATE(1900,1,0), Masterdata!$B$4&lt;$E36), AND(Masterdata!$B$3&lt;&gt;DATE(1900,1,0), Masterdata!$B$3&gt;$E36)), IF($H36&gt;TIME(0,0,0), "tast i næste felt", 0), IF($H36&gt;TIME(0,0,0), "Tast i næste felt", IF($H36&gt;0, 0, _xlfn.IFS($C36="lørdag", 0, $C36="søndag", 0, $F36="N", $V$8)))), "Tast i næste felt")</f>
        <v>0.30833333333333335</v>
      </c>
      <c r="H36" s="17"/>
      <c r="I36" s="16">
        <v>0</v>
      </c>
      <c r="J36" s="16">
        <v>0</v>
      </c>
      <c r="K36" s="50" t="str">
        <f>IF(OR(AND(Masterdata!$B$4&lt;&gt;DATE(1900,1,0),Masterdata!$B$4&lt;$E36),AND(Masterdata!$B$3&lt;&gt;DATE(1900,1,0),Masterdata!$B$3&gt;$E36)), "0:00", IF($H36&gt;TIME(0,0,0), IF($H36-$V$8&gt;=0, TEXT($H36-$V$8, "[t]:mm"), "-"&amp;TEXT(ABS($H36-$V$8), "[t]:mm")), IFERROR(IF($G36-$V$8=0, IF($G36-$V$8&gt;=0, TEXT($G36-$V$8, "[t]:mm"), "-"&amp;TEXT(ABS($G36-$V$8), "[t]:mm")), IF($J36-$I36&gt;=0, TEXT($J36-$I36, "[t]:mm"), "-"&amp;TEXT(ABS($J36-$I36), "[t]:mm"))), IF($J36-$I36-$V$8&gt;=0, TEXT($J36-$I36-$V$8, "[t]:mm"), "-"&amp;TEXT(ABS($J36-$I36-$V$8), "[t]:mm")))))</f>
        <v>0:00</v>
      </c>
      <c r="L36" s="54" t="str">
        <f t="shared" si="3"/>
        <v>0</v>
      </c>
      <c r="M36" s="58" t="str">
        <f t="shared" si="4"/>
        <v>0</v>
      </c>
      <c r="N36" s="51" t="str">
        <f t="shared" si="5"/>
        <v>00</v>
      </c>
      <c r="O36" s="57">
        <f t="shared" si="6"/>
        <v>0</v>
      </c>
      <c r="P36" s="6">
        <f t="shared" si="7"/>
        <v>0</v>
      </c>
      <c r="Q36" s="63"/>
    </row>
    <row r="37" spans="1:17" ht="15.75" x14ac:dyDescent="0.25">
      <c r="A37" s="12">
        <f t="shared" si="1"/>
        <v>5</v>
      </c>
      <c r="B37" s="13">
        <f t="shared" si="10"/>
        <v>45322</v>
      </c>
      <c r="C37" s="14" t="str" cm="1">
        <f t="array" ref="C37">_xlfn.SWITCH(WEEKDAY($D37, 2), 1, "mandag", 2, "tirsdag", 3, "onsdag", 4, "torsdag", 5, "fredag", 6, "lørdag", 7, "søndag")</f>
        <v>onsdag</v>
      </c>
      <c r="D37">
        <f t="shared" si="9"/>
        <v>4</v>
      </c>
      <c r="E37" s="42">
        <f t="shared" si="2"/>
        <v>45322</v>
      </c>
      <c r="F37" s="15" t="s">
        <v>21</v>
      </c>
      <c r="G37" s="17" cm="1">
        <f t="array" ref="G37">IFERROR(IF(OR(AND(Masterdata!$B$4&lt;&gt;DATE(1900,1,0), Masterdata!$B$4&lt;$E37), AND(Masterdata!$B$3&lt;&gt;DATE(1900,1,0), Masterdata!$B$3&gt;$E37)), IF($H37&gt;TIME(0,0,0), "tast i næste felt", 0), IF($H37&gt;TIME(0,0,0), "Tast i næste felt", IF($H37&gt;0, 0, _xlfn.IFS($C37="lørdag", 0, $C37="søndag", 0, $F37="N", $V$8)))), "Tast i næste felt")</f>
        <v>0.30833333333333335</v>
      </c>
      <c r="H37" s="17"/>
      <c r="I37" s="16">
        <v>0</v>
      </c>
      <c r="J37" s="16">
        <v>0</v>
      </c>
      <c r="K37" s="50" t="str">
        <f>IF(OR(AND(Masterdata!$B$4&lt;&gt;DATE(1900,1,0),Masterdata!$B$4&lt;$E37),AND(Masterdata!$B$3&lt;&gt;DATE(1900,1,0),Masterdata!$B$3&gt;$E37)), "0:00", IF($H37&gt;TIME(0,0,0), IF($H37-$V$8&gt;=0, TEXT($H37-$V$8, "[t]:mm"), "-"&amp;TEXT(ABS($H37-$V$8), "[t]:mm")), IFERROR(IF($G37-$V$8=0, IF($G37-$V$8&gt;=0, TEXT($G37-$V$8, "[t]:mm"), "-"&amp;TEXT(ABS($G37-$V$8), "[t]:mm")), IF($J37-$I37&gt;=0, TEXT($J37-$I37, "[t]:mm"), "-"&amp;TEXT(ABS($J37-$I37), "[t]:mm"))), IF($J37-$I37-$V$8&gt;=0, TEXT($J37-$I37-$V$8, "[t]:mm"), "-"&amp;TEXT(ABS($J37-$I37-$V$8), "[t]:mm")))))</f>
        <v>0:00</v>
      </c>
      <c r="L37" s="54" t="str">
        <f t="shared" si="3"/>
        <v>0</v>
      </c>
      <c r="M37" s="58" t="str">
        <f t="shared" si="4"/>
        <v>0</v>
      </c>
      <c r="N37" s="51" t="str">
        <f t="shared" si="5"/>
        <v>00</v>
      </c>
      <c r="O37" s="57">
        <f t="shared" si="6"/>
        <v>0</v>
      </c>
      <c r="P37" s="6">
        <f t="shared" si="7"/>
        <v>0</v>
      </c>
      <c r="Q37" s="63"/>
    </row>
    <row r="38" spans="1:17" x14ac:dyDescent="0.25">
      <c r="K38" s="8"/>
      <c r="P38" s="6"/>
    </row>
  </sheetData>
  <conditionalFormatting sqref="A7:J37">
    <cfRule type="expression" dxfId="54" priority="2">
      <formula>OR($C7="lørdag", $C7="søndag")</formula>
    </cfRule>
  </conditionalFormatting>
  <conditionalFormatting sqref="G7:G37">
    <cfRule type="expression" dxfId="53" priority="7">
      <formula>AND($F7="N", NOT(OR($C7="lørdag", $C7="søndag")))</formula>
    </cfRule>
  </conditionalFormatting>
  <conditionalFormatting sqref="H7:J37">
    <cfRule type="expression" dxfId="52" priority="1">
      <formula>OR($F7="N")</formula>
    </cfRule>
    <cfRule type="expression" dxfId="51" priority="5">
      <formula>$F7="R"</formula>
    </cfRule>
  </conditionalFormatting>
  <dataValidations count="1">
    <dataValidation type="list" allowBlank="1" showInputMessage="1" showErrorMessage="1" sqref="F7:F37" xr:uid="{B1F3046F-C1A9-4E74-97FF-49CCFDAAC916}">
      <formula1>$Q$2:$Q$3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72AA-76EC-4986-893D-7930DA55ADEA}">
  <dimension ref="A1:X36"/>
  <sheetViews>
    <sheetView zoomScale="70" zoomScaleNormal="70" workbookViewId="0">
      <selection activeCell="G7" sqref="G7"/>
    </sheetView>
  </sheetViews>
  <sheetFormatPr defaultRowHeight="15" outlineLevelCol="1" x14ac:dyDescent="0.25"/>
  <cols>
    <col min="1" max="1" width="11.28515625" customWidth="1"/>
    <col min="2" max="2" width="14.140625" customWidth="1"/>
    <col min="3" max="3" width="11.28515625" customWidth="1"/>
    <col min="4" max="4" width="15" hidden="1" customWidth="1"/>
    <col min="5" max="5" width="12.85546875" hidden="1" customWidth="1"/>
    <col min="6" max="6" width="11.28515625" customWidth="1"/>
    <col min="7" max="7" width="16.28515625" bestFit="1" customWidth="1"/>
    <col min="8" max="8" width="17.85546875" customWidth="1"/>
    <col min="9" max="11" width="11.28515625" customWidth="1"/>
    <col min="12" max="13" width="11.140625" hidden="1" customWidth="1" outlineLevel="1"/>
    <col min="14" max="14" width="90.7109375" hidden="1" customWidth="1" outlineLevel="1"/>
    <col min="15" max="15" width="27.28515625" hidden="1" customWidth="1" outlineLevel="1"/>
    <col min="16" max="16" width="12" hidden="1" customWidth="1" outlineLevel="1"/>
    <col min="17" max="17" width="14.14062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36" t="s">
        <v>18</v>
      </c>
      <c r="B1" s="37">
        <v>37</v>
      </c>
      <c r="Q1" s="45" t="s">
        <v>19</v>
      </c>
      <c r="R1" s="46" t="s">
        <v>20</v>
      </c>
    </row>
    <row r="2" spans="1:24" ht="31.5" x14ac:dyDescent="0.25">
      <c r="A2" s="34" t="s">
        <v>4</v>
      </c>
      <c r="B2" s="59">
        <f>SUM(P7:P35)</f>
        <v>0</v>
      </c>
      <c r="Q2" s="47" t="s">
        <v>21</v>
      </c>
      <c r="R2" s="49" t="s">
        <v>22</v>
      </c>
    </row>
    <row r="3" spans="1:24" ht="63" x14ac:dyDescent="0.25">
      <c r="A3" s="39" t="s">
        <v>0</v>
      </c>
      <c r="B3" s="40">
        <f>B7</f>
        <v>45323</v>
      </c>
      <c r="Q3" s="48" t="s">
        <v>23</v>
      </c>
      <c r="R3" s="61" t="s">
        <v>24</v>
      </c>
    </row>
    <row r="4" spans="1:24" ht="16.5" thickBot="1" x14ac:dyDescent="0.3">
      <c r="A4" s="35" t="s">
        <v>17</v>
      </c>
      <c r="B4" s="41">
        <f>B7</f>
        <v>45323</v>
      </c>
      <c r="Q4" s="44" t="s">
        <v>25</v>
      </c>
      <c r="R4" s="43" t="s">
        <v>26</v>
      </c>
    </row>
    <row r="5" spans="1:24" ht="15.75" thickBot="1" x14ac:dyDescent="0.3"/>
    <row r="6" spans="1:24" ht="21.75" customHeight="1" thickBot="1" x14ac:dyDescent="0.3">
      <c r="A6" s="9" t="s">
        <v>27</v>
      </c>
      <c r="B6" s="10" t="s">
        <v>28</v>
      </c>
      <c r="C6" s="10" t="s">
        <v>29</v>
      </c>
      <c r="D6" s="10" t="s">
        <v>30</v>
      </c>
      <c r="E6" s="10" t="s">
        <v>31</v>
      </c>
      <c r="F6" s="10" t="s">
        <v>19</v>
      </c>
      <c r="G6" s="10" t="s">
        <v>32</v>
      </c>
      <c r="H6" s="10" t="s">
        <v>33</v>
      </c>
      <c r="I6" s="11" t="s">
        <v>34</v>
      </c>
      <c r="J6" s="11" t="s">
        <v>35</v>
      </c>
      <c r="K6" s="10" t="s">
        <v>36</v>
      </c>
      <c r="L6" s="55" t="s">
        <v>37</v>
      </c>
      <c r="M6" s="56" t="s">
        <v>38</v>
      </c>
      <c r="N6" s="56" t="s">
        <v>39</v>
      </c>
      <c r="O6" s="56"/>
      <c r="Q6" s="10" t="s">
        <v>40</v>
      </c>
      <c r="U6" t="s">
        <v>41</v>
      </c>
      <c r="V6">
        <v>5</v>
      </c>
    </row>
    <row r="7" spans="1:24" ht="15.75" x14ac:dyDescent="0.25">
      <c r="A7" s="12">
        <f>WEEKNUM($B7,21)</f>
        <v>5</v>
      </c>
      <c r="B7" s="13">
        <f>DATE(Masterdata!$B$5,2,1)</f>
        <v>45323</v>
      </c>
      <c r="C7" s="14" t="str" cm="1">
        <f t="array" ref="C7">_xlfn.SWITCH(WEEKDAY($D7, 2), 1, "mandag", 2, "tirsdag", 3, "onsdag", 4, "torsdag", 5, "fredag", 6, "lørdag", 7, "søndag")</f>
        <v>torsdag</v>
      </c>
      <c r="D7">
        <f t="shared" ref="D7:D35" si="0">WEEKDAY($B7, 2)+1</f>
        <v>5</v>
      </c>
      <c r="E7" s="42">
        <f>$B7</f>
        <v>45323</v>
      </c>
      <c r="F7" s="15" t="s">
        <v>21</v>
      </c>
      <c r="G7" s="17" cm="1">
        <f t="array" ref="G7">IFERROR(IF(OR(AND(Masterdata!$B$4&lt;&gt;DATE(1900,1,0), Masterdata!$B$4&lt;$E7), AND(Masterdata!$B$3&lt;&gt;DATE(1900,1,0), Masterdata!$B$3&gt;$E7)), IF($H7&gt;TIME(0,0,0), "tast i næste felt", 0), IF($H7&gt;TIME(0,0,0), "Tast i næste felt", IF($H7&gt;0, 0, _xlfn.IFS($C7="lørdag", 0, $C7="søndag", 0, $F7="N", $V$8)))), "Tast i næste felt")</f>
        <v>0.30833333333333335</v>
      </c>
      <c r="H7" s="17">
        <v>0</v>
      </c>
      <c r="I7" s="16">
        <v>0</v>
      </c>
      <c r="J7" s="16">
        <v>0</v>
      </c>
      <c r="K7" s="60" t="str">
        <f>IF(OR(AND(Masterdata!$B$4&lt;&gt;DATE(1900,1,0),Masterdata!$B$4&lt;$E7),AND(Masterdata!$B$3&lt;&gt;DATE(1900,1,0),Masterdata!$B$3&gt;$E7)), "0:00", IF($H7&gt;TIME(0,0,0), IF($H7-$V$8&gt;=0, TEXT($H7-$V$8, "[t]:mm"), "-"&amp;TEXT(ABS($H7-$V$8), "[t]:mm")), IFERROR(IF($G7-$V$8=0, IF($G7-$V$8&gt;=0, TEXT($G7-$V$8, "[t]:mm"), "-"&amp;TEXT(ABS($G7-$V$8), "[t]:mm")), IF($J7-$I7&gt;=0, TEXT($J7-$I7, "[t]:mm"), "-"&amp;TEXT(ABS($J7-$I7), "[t]:mm"))), IF($J7-$I7-$V$8&gt;=0, TEXT($J7-$I7-$V$8, "[t]:mm"), "-"&amp;TEXT(ABS($J7-$I7-$V$8), "[t]:mm")))))</f>
        <v>0:00</v>
      </c>
      <c r="L7" s="54" t="str">
        <f>LEFT(K7,1)</f>
        <v>0</v>
      </c>
      <c r="M7" s="58" t="str">
        <f>IF($L7="-",LEFT($K7,2),LEFT($K7,1))</f>
        <v>0</v>
      </c>
      <c r="N7" s="51" t="str">
        <f>IF($L7="-",MID($K7,4,2),MID($K7,3,2))</f>
        <v>00</v>
      </c>
      <c r="O7" s="57">
        <f>N7/60</f>
        <v>0</v>
      </c>
      <c r="P7" s="6">
        <f>IF(L7="-",M7-O7,M7+O7)</f>
        <v>0</v>
      </c>
      <c r="Q7" s="62"/>
      <c r="R7" s="53"/>
      <c r="U7" t="s">
        <v>42</v>
      </c>
      <c r="V7" s="3">
        <f>B1/V6</f>
        <v>7.4</v>
      </c>
      <c r="W7">
        <v>0</v>
      </c>
      <c r="X7" s="8"/>
    </row>
    <row r="8" spans="1:24" ht="15.75" x14ac:dyDescent="0.25">
      <c r="A8" s="12">
        <f t="shared" ref="A8:A35" si="1">WEEKNUM($B8,21)</f>
        <v>5</v>
      </c>
      <c r="B8" s="13">
        <f>B7+1</f>
        <v>45324</v>
      </c>
      <c r="C8" s="14" t="str" cm="1">
        <f t="array" ref="C8">_xlfn.SWITCH(WEEKDAY($D8, 2), 1, "mandag", 2, "tirsdag", 3, "onsdag", 4, "torsdag", 5, "fredag", 6, "lørdag", 7, "søndag")</f>
        <v>fredag</v>
      </c>
      <c r="D8">
        <f t="shared" si="0"/>
        <v>6</v>
      </c>
      <c r="E8" s="42">
        <f t="shared" ref="E8:E35" si="2">$B8</f>
        <v>45324</v>
      </c>
      <c r="F8" s="15" t="s">
        <v>21</v>
      </c>
      <c r="G8" s="17" cm="1">
        <f t="array" ref="G8">IFERROR(IF(OR(AND(Masterdata!$B$4&lt;&gt;DATE(1900,1,0), Masterdata!$B$4&lt;$E8), AND(Masterdata!$B$3&lt;&gt;DATE(1900,1,0), Masterdata!$B$3&gt;$E8)), IF($H8&gt;TIME(0,0,0), "tast i næste felt", 0), IF($H8&gt;TIME(0,0,0), "Tast i næste felt", IF($H8&gt;0, 0, _xlfn.IFS($C8="lørdag", 0, $C8="søndag", 0, $F8="N", $V$8)))), "Tast i næste felt")</f>
        <v>0.30833333333333335</v>
      </c>
      <c r="H8" s="17">
        <v>0</v>
      </c>
      <c r="I8" s="16">
        <v>0</v>
      </c>
      <c r="J8" s="16">
        <v>0</v>
      </c>
      <c r="K8" s="50" t="str">
        <f>IF(OR(AND(Masterdata!$B$4&lt;&gt;DATE(1900,1,0),Masterdata!$B$4&lt;$E8),AND(Masterdata!$B$3&lt;&gt;DATE(1900,1,0),Masterdata!$B$3&gt;$E8)), "0:00", IF($H8&gt;TIME(0,0,0), IF($H8-$V$8&gt;=0, TEXT($H8-$V$8, "[t]:mm"), "-"&amp;TEXT(ABS($H8-$V$8), "[t]:mm")), IFERROR(IF($G8-$V$8=0, IF($G8-$V$8&gt;=0, TEXT($G8-$V$8, "[t]:mm"), "-"&amp;TEXT(ABS($G8-$V$8), "[t]:mm")), IF($J8-$I8&gt;=0, TEXT($J8-$I8, "[t]:mm"), "-"&amp;TEXT(ABS($J8-$I8), "[t]:mm"))), IF($J8-$I8-$V$8&gt;=0, TEXT($J8-$I8-$V$8, "[t]:mm"), "-"&amp;TEXT(ABS($J8-$I8-$V$8), "[t]:mm")))))</f>
        <v>0:00</v>
      </c>
      <c r="L8" s="54" t="str">
        <f t="shared" ref="L8:L35" si="3">LEFT(K8,1)</f>
        <v>0</v>
      </c>
      <c r="M8" s="58" t="str">
        <f t="shared" ref="M8:M35" si="4">IF($L8="-",LEFT($K8,2),LEFT($K8,1))</f>
        <v>0</v>
      </c>
      <c r="N8" s="51" t="str">
        <f t="shared" ref="N8:N35" si="5">IF($L8="-",MID($K8,4,2),MID($K8,3,2))</f>
        <v>00</v>
      </c>
      <c r="O8" s="57">
        <f t="shared" ref="O8:O35" si="6">N8/60</f>
        <v>0</v>
      </c>
      <c r="P8" s="6">
        <f t="shared" ref="P8:P35" si="7">IF(L8="-",M8-O8,M8+O8)</f>
        <v>0</v>
      </c>
      <c r="Q8" s="63"/>
      <c r="U8" t="s">
        <v>43</v>
      </c>
      <c r="V8" s="8">
        <f>V7/24</f>
        <v>0.30833333333333335</v>
      </c>
    </row>
    <row r="9" spans="1:24" ht="15.75" x14ac:dyDescent="0.25">
      <c r="A9" s="12">
        <f t="shared" si="1"/>
        <v>5</v>
      </c>
      <c r="B9" s="13">
        <f t="shared" ref="B9:B35" si="8">B8+1</f>
        <v>45325</v>
      </c>
      <c r="C9" s="14" t="str" cm="1">
        <f t="array" ref="C9">_xlfn.SWITCH(WEEKDAY($D9, 2), 1, "mandag", 2, "tirsdag", 3, "onsdag", 4, "torsdag", 5, "fredag", 6, "lørdag", 7, "søndag")</f>
        <v>lørdag</v>
      </c>
      <c r="D9">
        <f t="shared" si="0"/>
        <v>7</v>
      </c>
      <c r="E9" s="42">
        <f t="shared" si="2"/>
        <v>45325</v>
      </c>
      <c r="F9" s="15" t="s">
        <v>21</v>
      </c>
      <c r="G9" s="17" cm="1">
        <f t="array" ref="G9">IFERROR(IF(OR(AND(Masterdata!$B$4&lt;&gt;DATE(1900,1,0), Masterdata!$B$4&lt;$E9), AND(Masterdata!$B$3&lt;&gt;DATE(1900,1,0), Masterdata!$B$3&gt;$E9)), IF($H9&gt;TIME(0,0,0), "tast i næste felt", 0), IF($H9&gt;TIME(0,0,0), "Tast i næste felt", IF($H9&gt;0, 0, _xlfn.IFS($C9="lørdag", 0, $C9="søndag", 0, $F9="N", $V$8)))), "Tast i næste felt")</f>
        <v>0</v>
      </c>
      <c r="H9" s="17">
        <v>0</v>
      </c>
      <c r="I9" s="16">
        <v>0</v>
      </c>
      <c r="J9" s="16">
        <v>0</v>
      </c>
      <c r="K9" s="50" t="str">
        <f>IF(OR(AND(Masterdata!$B$4&lt;&gt;DATE(1900,1,0),Masterdata!$B$4&lt;$E9),AND(Masterdata!$B$3&lt;&gt;DATE(1900,1,0),Masterdata!$B$3&gt;$E9)), "0:00", IF($H9&gt;TIME(0,0,0), IF($H9-$V$8&gt;=0, TEXT($H9-$V$8, "[t]:mm"), "-"&amp;TEXT(ABS($H9-$V$8), "[t]:mm")), IFERROR(IF($G9-$V$8=0, IF($G9-$V$8&gt;=0, TEXT($G9-$V$8, "[t]:mm"), "-"&amp;TEXT(ABS($G9-$V$8), "[t]:mm")), IF($J9-$I9&gt;=0, TEXT($J9-$I9, "[t]:mm"), "-"&amp;TEXT(ABS($J9-$I9), "[t]:mm"))), IF($J9-$I9-$V$8&gt;=0, TEXT($J9-$I9-$V$8, "[t]:mm"), "-"&amp;TEXT(ABS($J9-$I9-$V$8), "[t]:mm")))))</f>
        <v>0:00</v>
      </c>
      <c r="L9" s="54" t="str">
        <f t="shared" si="3"/>
        <v>0</v>
      </c>
      <c r="M9" s="58" t="str">
        <f t="shared" si="4"/>
        <v>0</v>
      </c>
      <c r="N9" s="51" t="str">
        <f t="shared" si="5"/>
        <v>00</v>
      </c>
      <c r="O9" s="57">
        <f t="shared" si="6"/>
        <v>0</v>
      </c>
      <c r="P9" s="6">
        <f t="shared" si="7"/>
        <v>0</v>
      </c>
      <c r="Q9" s="63"/>
      <c r="S9" t="s">
        <v>21</v>
      </c>
      <c r="T9" t="s">
        <v>44</v>
      </c>
      <c r="U9" t="s">
        <v>45</v>
      </c>
      <c r="V9" s="6">
        <f>(B1/37)*160.33</f>
        <v>160.33000000000001</v>
      </c>
    </row>
    <row r="10" spans="1:24" ht="15.75" x14ac:dyDescent="0.25">
      <c r="A10" s="12">
        <f t="shared" si="1"/>
        <v>5</v>
      </c>
      <c r="B10" s="13">
        <f t="shared" si="8"/>
        <v>45326</v>
      </c>
      <c r="C10" s="14" t="str" cm="1">
        <f t="array" ref="C10">_xlfn.SWITCH(WEEKDAY($D10, 2), 1, "mandag", 2, "tirsdag", 3, "onsdag", 4, "torsdag", 5, "fredag", 6, "lørdag", 7, "søndag")</f>
        <v>søndag</v>
      </c>
      <c r="D10">
        <f t="shared" si="0"/>
        <v>8</v>
      </c>
      <c r="E10" s="42">
        <f t="shared" si="2"/>
        <v>45326</v>
      </c>
      <c r="F10" s="15" t="s">
        <v>21</v>
      </c>
      <c r="G10" s="17" cm="1">
        <f t="array" ref="G10">IFERROR(IF(OR(AND(Masterdata!$B$4&lt;&gt;DATE(1900,1,0), Masterdata!$B$4&lt;$E10), AND(Masterdata!$B$3&lt;&gt;DATE(1900,1,0), Masterdata!$B$3&gt;$E10)), IF($H10&gt;TIME(0,0,0), "tast i næste felt", 0), IF($H10&gt;TIME(0,0,0), "Tast i næste felt", IF($H10&gt;0, 0, _xlfn.IFS($C10="lørdag", 0, $C10="søndag", 0, $F10="N", $V$8)))), "Tast i næste felt")</f>
        <v>0</v>
      </c>
      <c r="H10" s="17">
        <v>0</v>
      </c>
      <c r="I10" s="16">
        <v>0</v>
      </c>
      <c r="J10" s="16">
        <v>0</v>
      </c>
      <c r="K10" s="50" t="str">
        <f>IF(OR(AND(Masterdata!$B$4&lt;&gt;DATE(1900,1,0),Masterdata!$B$4&lt;$E10),AND(Masterdata!$B$3&lt;&gt;DATE(1900,1,0),Masterdata!$B$3&gt;$E10)), "0:00", IF($H10&gt;TIME(0,0,0), IF($H10-$V$8&gt;=0, TEXT($H10-$V$8, "[t]:mm"), "-"&amp;TEXT(ABS($H10-$V$8), "[t]:mm")), IFERROR(IF($G10-$V$8=0, IF($G10-$V$8&gt;=0, TEXT($G10-$V$8, "[t]:mm"), "-"&amp;TEXT(ABS($G10-$V$8), "[t]:mm")), IF($J10-$I10&gt;=0, TEXT($J10-$I10, "[t]:mm"), "-"&amp;TEXT(ABS($J10-$I10), "[t]:mm"))), IF($J10-$I10-$V$8&gt;=0, TEXT($J10-$I10-$V$8, "[t]:mm"), "-"&amp;TEXT(ABS($J10-$I10-$V$8), "[t]:mm")))))</f>
        <v>0:00</v>
      </c>
      <c r="L10" s="54" t="str">
        <f t="shared" si="3"/>
        <v>0</v>
      </c>
      <c r="M10" s="58" t="str">
        <f t="shared" si="4"/>
        <v>0</v>
      </c>
      <c r="N10" s="51" t="str">
        <f t="shared" si="5"/>
        <v>00</v>
      </c>
      <c r="O10" s="57">
        <f t="shared" si="6"/>
        <v>0</v>
      </c>
      <c r="P10" s="6">
        <f t="shared" si="7"/>
        <v>0</v>
      </c>
      <c r="Q10" s="63"/>
    </row>
    <row r="11" spans="1:24" ht="15.75" x14ac:dyDescent="0.25">
      <c r="A11" s="12">
        <f t="shared" si="1"/>
        <v>6</v>
      </c>
      <c r="B11" s="13">
        <f t="shared" si="8"/>
        <v>45327</v>
      </c>
      <c r="C11" s="14" t="str" cm="1">
        <f t="array" ref="C11">_xlfn.SWITCH(WEEKDAY($D11, 2), 1, "mandag", 2, "tirsdag", 3, "onsdag", 4, "torsdag", 5, "fredag", 6, "lørdag", 7, "søndag")</f>
        <v>mandag</v>
      </c>
      <c r="D11">
        <f t="shared" si="0"/>
        <v>2</v>
      </c>
      <c r="E11" s="42">
        <f t="shared" si="2"/>
        <v>45327</v>
      </c>
      <c r="F11" s="15" t="s">
        <v>21</v>
      </c>
      <c r="G11" s="17" cm="1">
        <f t="array" ref="G11">IFERROR(IF(OR(AND(Masterdata!$B$4&lt;&gt;DATE(1900,1,0), Masterdata!$B$4&lt;$E11), AND(Masterdata!$B$3&lt;&gt;DATE(1900,1,0), Masterdata!$B$3&gt;$E11)), IF($H11&gt;TIME(0,0,0), "tast i næste felt", 0), IF($H11&gt;TIME(0,0,0), "Tast i næste felt", IF($H11&gt;0, 0, _xlfn.IFS($C11="lørdag", 0, $C11="søndag", 0, $F11="N", $V$8)))), "Tast i næste felt")</f>
        <v>0.30833333333333335</v>
      </c>
      <c r="H11" s="17">
        <v>0</v>
      </c>
      <c r="I11" s="16">
        <v>0</v>
      </c>
      <c r="J11" s="16">
        <v>0</v>
      </c>
      <c r="K11" s="50" t="str">
        <f>IF(OR(AND(Masterdata!$B$4&lt;&gt;DATE(1900,1,0),Masterdata!$B$4&lt;$E11),AND(Masterdata!$B$3&lt;&gt;DATE(1900,1,0),Masterdata!$B$3&gt;$E11)), "0:00", IF($H11&gt;TIME(0,0,0), IF($H11-$V$8&gt;=0, TEXT($H11-$V$8, "[t]:mm"), "-"&amp;TEXT(ABS($H11-$V$8), "[t]:mm")), IFERROR(IF($G11-$V$8=0, IF($G11-$V$8&gt;=0, TEXT($G11-$V$8, "[t]:mm"), "-"&amp;TEXT(ABS($G11-$V$8), "[t]:mm")), IF($J11-$I11&gt;=0, TEXT($J11-$I11, "[t]:mm"), "-"&amp;TEXT(ABS($J11-$I11), "[t]:mm"))), IF($J11-$I11-$V$8&gt;=0, TEXT($J11-$I11-$V$8, "[t]:mm"), "-"&amp;TEXT(ABS($J11-$I11-$V$8), "[t]:mm")))))</f>
        <v>0:00</v>
      </c>
      <c r="L11" s="54" t="str">
        <f t="shared" si="3"/>
        <v>0</v>
      </c>
      <c r="M11" s="58" t="str">
        <f t="shared" si="4"/>
        <v>0</v>
      </c>
      <c r="N11" s="51" t="str">
        <f t="shared" si="5"/>
        <v>00</v>
      </c>
      <c r="O11" s="57">
        <f t="shared" si="6"/>
        <v>0</v>
      </c>
      <c r="P11" s="6">
        <f t="shared" si="7"/>
        <v>0</v>
      </c>
      <c r="Q11" s="63"/>
      <c r="V11" s="6"/>
    </row>
    <row r="12" spans="1:24" ht="15.75" x14ac:dyDescent="0.25">
      <c r="A12" s="12">
        <f t="shared" si="1"/>
        <v>6</v>
      </c>
      <c r="B12" s="13">
        <f t="shared" si="8"/>
        <v>45328</v>
      </c>
      <c r="C12" s="14" t="str" cm="1">
        <f t="array" ref="C12">_xlfn.SWITCH(WEEKDAY($D12, 2), 1, "mandag", 2, "tirsdag", 3, "onsdag", 4, "torsdag", 5, "fredag", 6, "lørdag", 7, "søndag")</f>
        <v>tirsdag</v>
      </c>
      <c r="D12">
        <f t="shared" si="0"/>
        <v>3</v>
      </c>
      <c r="E12" s="42">
        <f t="shared" si="2"/>
        <v>45328</v>
      </c>
      <c r="F12" s="15" t="s">
        <v>21</v>
      </c>
      <c r="G12" s="17" cm="1">
        <f t="array" ref="G12">IFERROR(IF(OR(AND(Masterdata!$B$4&lt;&gt;DATE(1900,1,0), Masterdata!$B$4&lt;$E12), AND(Masterdata!$B$3&lt;&gt;DATE(1900,1,0), Masterdata!$B$3&gt;$E12)), IF($H12&gt;TIME(0,0,0), "tast i næste felt", 0), IF($H12&gt;TIME(0,0,0), "Tast i næste felt", IF($H12&gt;0, 0, _xlfn.IFS($C12="lørdag", 0, $C12="søndag", 0, $F12="N", $V$8)))), "Tast i næste felt")</f>
        <v>0.30833333333333335</v>
      </c>
      <c r="H12" s="17">
        <v>0</v>
      </c>
      <c r="I12" s="16">
        <v>0</v>
      </c>
      <c r="J12" s="16">
        <v>0</v>
      </c>
      <c r="K12" s="50" t="str">
        <f>IF(OR(AND(Masterdata!$B$4&lt;&gt;DATE(1900,1,0),Masterdata!$B$4&lt;$E12),AND(Masterdata!$B$3&lt;&gt;DATE(1900,1,0),Masterdata!$B$3&gt;$E12)), "0:00", IF($H12&gt;TIME(0,0,0), IF($H12-$V$8&gt;=0, TEXT($H12-$V$8, "[t]:mm"), "-"&amp;TEXT(ABS($H12-$V$8), "[t]:mm")), IFERROR(IF($G12-$V$8=0, IF($G12-$V$8&gt;=0, TEXT($G12-$V$8, "[t]:mm"), "-"&amp;TEXT(ABS($G12-$V$8), "[t]:mm")), IF($J12-$I12&gt;=0, TEXT($J12-$I12, "[t]:mm"), "-"&amp;TEXT(ABS($J12-$I12), "[t]:mm"))), IF($J12-$I12-$V$8&gt;=0, TEXT($J12-$I12-$V$8, "[t]:mm"), "-"&amp;TEXT(ABS($J12-$I12-$V$8), "[t]:mm")))))</f>
        <v>0:00</v>
      </c>
      <c r="L12" s="54" t="str">
        <f t="shared" si="3"/>
        <v>0</v>
      </c>
      <c r="M12" s="58" t="str">
        <f t="shared" si="4"/>
        <v>0</v>
      </c>
      <c r="N12" s="51" t="str">
        <f t="shared" si="5"/>
        <v>00</v>
      </c>
      <c r="O12" s="57">
        <f t="shared" si="6"/>
        <v>0</v>
      </c>
      <c r="P12" s="6">
        <f t="shared" si="7"/>
        <v>0</v>
      </c>
      <c r="Q12" s="63"/>
      <c r="V12" s="38"/>
    </row>
    <row r="13" spans="1:24" ht="15.75" x14ac:dyDescent="0.25">
      <c r="A13" s="12">
        <f t="shared" si="1"/>
        <v>6</v>
      </c>
      <c r="B13" s="13">
        <f t="shared" si="8"/>
        <v>45329</v>
      </c>
      <c r="C13" s="14" t="str" cm="1">
        <f t="array" ref="C13">_xlfn.SWITCH(WEEKDAY($D13, 2), 1, "mandag", 2, "tirsdag", 3, "onsdag", 4, "torsdag", 5, "fredag", 6, "lørdag", 7, "søndag")</f>
        <v>onsdag</v>
      </c>
      <c r="D13">
        <f t="shared" si="0"/>
        <v>4</v>
      </c>
      <c r="E13" s="42">
        <f t="shared" si="2"/>
        <v>45329</v>
      </c>
      <c r="F13" s="15" t="s">
        <v>21</v>
      </c>
      <c r="G13" s="17" cm="1">
        <f t="array" ref="G13">IFERROR(IF(OR(AND(Masterdata!$B$4&lt;&gt;DATE(1900,1,0), Masterdata!$B$4&lt;$E13), AND(Masterdata!$B$3&lt;&gt;DATE(1900,1,0), Masterdata!$B$3&gt;$E13)), IF($H13&gt;TIME(0,0,0), "tast i næste felt", 0), IF($H13&gt;TIME(0,0,0), "Tast i næste felt", IF($H13&gt;0, 0, _xlfn.IFS($C13="lørdag", 0, $C13="søndag", 0, $F13="N", $V$8)))), "Tast i næste felt")</f>
        <v>0.30833333333333335</v>
      </c>
      <c r="H13" s="17">
        <v>0</v>
      </c>
      <c r="I13" s="16">
        <v>0</v>
      </c>
      <c r="J13" s="16">
        <v>0</v>
      </c>
      <c r="K13" s="50" t="str">
        <f>IF(OR(AND(Masterdata!$B$4&lt;&gt;DATE(1900,1,0),Masterdata!$B$4&lt;$E13),AND(Masterdata!$B$3&lt;&gt;DATE(1900,1,0),Masterdata!$B$3&gt;$E13)), "0:00", IF($H13&gt;TIME(0,0,0), IF($H13-$V$8&gt;=0, TEXT($H13-$V$8, "[t]:mm"), "-"&amp;TEXT(ABS($H13-$V$8), "[t]:mm")), IFERROR(IF($G13-$V$8=0, IF($G13-$V$8&gt;=0, TEXT($G13-$V$8, "[t]:mm"), "-"&amp;TEXT(ABS($G13-$V$8), "[t]:mm")), IF($J13-$I13&gt;=0, TEXT($J13-$I13, "[t]:mm"), "-"&amp;TEXT(ABS($J13-$I13), "[t]:mm"))), IF($J13-$I13-$V$8&gt;=0, TEXT($J13-$I13-$V$8, "[t]:mm"), "-"&amp;TEXT(ABS($J13-$I13-$V$8), "[t]:mm")))))</f>
        <v>0:00</v>
      </c>
      <c r="L13" s="54" t="str">
        <f t="shared" si="3"/>
        <v>0</v>
      </c>
      <c r="M13" s="58" t="str">
        <f t="shared" si="4"/>
        <v>0</v>
      </c>
      <c r="N13" s="51" t="str">
        <f t="shared" si="5"/>
        <v>00</v>
      </c>
      <c r="O13" s="57">
        <f t="shared" si="6"/>
        <v>0</v>
      </c>
      <c r="P13" s="6">
        <f t="shared" si="7"/>
        <v>0</v>
      </c>
      <c r="Q13" s="63"/>
    </row>
    <row r="14" spans="1:24" ht="15.75" x14ac:dyDescent="0.25">
      <c r="A14" s="12">
        <f t="shared" si="1"/>
        <v>6</v>
      </c>
      <c r="B14" s="13">
        <f t="shared" si="8"/>
        <v>45330</v>
      </c>
      <c r="C14" s="14" t="str" cm="1">
        <f t="array" ref="C14">_xlfn.SWITCH(WEEKDAY($D14, 2), 1, "mandag", 2, "tirsdag", 3, "onsdag", 4, "torsdag", 5, "fredag", 6, "lørdag", 7, "søndag")</f>
        <v>torsdag</v>
      </c>
      <c r="D14">
        <f t="shared" si="0"/>
        <v>5</v>
      </c>
      <c r="E14" s="42">
        <f t="shared" si="2"/>
        <v>45330</v>
      </c>
      <c r="F14" s="15" t="s">
        <v>21</v>
      </c>
      <c r="G14" s="17" cm="1">
        <f t="array" ref="G14">IFERROR(IF(OR(AND(Masterdata!$B$4&lt;&gt;DATE(1900,1,0), Masterdata!$B$4&lt;$E14), AND(Masterdata!$B$3&lt;&gt;DATE(1900,1,0), Masterdata!$B$3&gt;$E14)), IF($H14&gt;TIME(0,0,0), "tast i næste felt", 0), IF($H14&gt;TIME(0,0,0), "Tast i næste felt", IF($H14&gt;0, 0, _xlfn.IFS($C14="lørdag", 0, $C14="søndag", 0, $F14="N", $V$8)))), "Tast i næste felt")</f>
        <v>0.30833333333333335</v>
      </c>
      <c r="H14" s="17">
        <v>0</v>
      </c>
      <c r="I14" s="16">
        <v>0</v>
      </c>
      <c r="J14" s="16">
        <v>0</v>
      </c>
      <c r="K14" s="50" t="str">
        <f>IF(OR(AND(Masterdata!$B$4&lt;&gt;DATE(1900,1,0),Masterdata!$B$4&lt;$E14),AND(Masterdata!$B$3&lt;&gt;DATE(1900,1,0),Masterdata!$B$3&gt;$E14)), "0:00", IF($H14&gt;TIME(0,0,0), IF($H14-$V$8&gt;=0, TEXT($H14-$V$8, "[t]:mm"), "-"&amp;TEXT(ABS($H14-$V$8), "[t]:mm")), IFERROR(IF($G14-$V$8=0, IF($G14-$V$8&gt;=0, TEXT($G14-$V$8, "[t]:mm"), "-"&amp;TEXT(ABS($G14-$V$8), "[t]:mm")), IF($J14-$I14&gt;=0, TEXT($J14-$I14, "[t]:mm"), "-"&amp;TEXT(ABS($J14-$I14), "[t]:mm"))), IF($J14-$I14-$V$8&gt;=0, TEXT($J14-$I14-$V$8, "[t]:mm"), "-"&amp;TEXT(ABS($J14-$I14-$V$8), "[t]:mm")))))</f>
        <v>0:00</v>
      </c>
      <c r="L14" s="54" t="str">
        <f t="shared" si="3"/>
        <v>0</v>
      </c>
      <c r="M14" s="58" t="str">
        <f t="shared" si="4"/>
        <v>0</v>
      </c>
      <c r="N14" s="51" t="str">
        <f t="shared" si="5"/>
        <v>00</v>
      </c>
      <c r="O14" s="57">
        <f t="shared" si="6"/>
        <v>0</v>
      </c>
      <c r="P14" s="6">
        <f t="shared" si="7"/>
        <v>0</v>
      </c>
      <c r="Q14" s="63"/>
      <c r="S14" t="s">
        <v>46</v>
      </c>
      <c r="T14" t="s">
        <v>47</v>
      </c>
      <c r="U14" t="s">
        <v>48</v>
      </c>
      <c r="V14" s="6">
        <f>V9-V12</f>
        <v>160.33000000000001</v>
      </c>
    </row>
    <row r="15" spans="1:24" ht="15.75" x14ac:dyDescent="0.25">
      <c r="A15" s="12">
        <f t="shared" si="1"/>
        <v>6</v>
      </c>
      <c r="B15" s="13">
        <f t="shared" si="8"/>
        <v>45331</v>
      </c>
      <c r="C15" s="14" t="str" cm="1">
        <f t="array" ref="C15">_xlfn.SWITCH(WEEKDAY($D15, 2), 1, "mandag", 2, "tirsdag", 3, "onsdag", 4, "torsdag", 5, "fredag", 6, "lørdag", 7, "søndag")</f>
        <v>fredag</v>
      </c>
      <c r="D15">
        <f t="shared" si="0"/>
        <v>6</v>
      </c>
      <c r="E15" s="42">
        <f t="shared" si="2"/>
        <v>45331</v>
      </c>
      <c r="F15" s="15" t="s">
        <v>21</v>
      </c>
      <c r="G15" s="17" cm="1">
        <f t="array" ref="G15">IFERROR(IF(OR(AND(Masterdata!$B$4&lt;&gt;DATE(1900,1,0), Masterdata!$B$4&lt;$E15), AND(Masterdata!$B$3&lt;&gt;DATE(1900,1,0), Masterdata!$B$3&gt;$E15)), IF($H15&gt;TIME(0,0,0), "tast i næste felt", 0), IF($H15&gt;TIME(0,0,0), "Tast i næste felt", IF($H15&gt;0, 0, _xlfn.IFS($C15="lørdag", 0, $C15="søndag", 0, $F15="N", $V$8)))), "Tast i næste felt")</f>
        <v>0.30833333333333335</v>
      </c>
      <c r="H15" s="17">
        <v>0</v>
      </c>
      <c r="I15" s="16">
        <v>0</v>
      </c>
      <c r="J15" s="16">
        <v>0</v>
      </c>
      <c r="K15" s="50" t="str">
        <f>IF(OR(AND(Masterdata!$B$4&lt;&gt;DATE(1900,1,0),Masterdata!$B$4&lt;$E15),AND(Masterdata!$B$3&lt;&gt;DATE(1900,1,0),Masterdata!$B$3&gt;$E15)), "0:00", IF($H15&gt;TIME(0,0,0), IF($H15-$V$8&gt;=0, TEXT($H15-$V$8, "[t]:mm"), "-"&amp;TEXT(ABS($H15-$V$8), "[t]:mm")), IFERROR(IF($G15-$V$8=0, IF($G15-$V$8&gt;=0, TEXT($G15-$V$8, "[t]:mm"), "-"&amp;TEXT(ABS($G15-$V$8), "[t]:mm")), IF($J15-$I15&gt;=0, TEXT($J15-$I15, "[t]:mm"), "-"&amp;TEXT(ABS($J15-$I15), "[t]:mm"))), IF($J15-$I15-$V$8&gt;=0, TEXT($J15-$I15-$V$8, "[t]:mm"), "-"&amp;TEXT(ABS($J15-$I15-$V$8), "[t]:mm")))))</f>
        <v>0:00</v>
      </c>
      <c r="L15" s="54" t="str">
        <f t="shared" si="3"/>
        <v>0</v>
      </c>
      <c r="M15" s="58" t="str">
        <f t="shared" si="4"/>
        <v>0</v>
      </c>
      <c r="N15" s="51" t="str">
        <f t="shared" si="5"/>
        <v>00</v>
      </c>
      <c r="O15" s="57">
        <f t="shared" si="6"/>
        <v>0</v>
      </c>
      <c r="P15" s="6">
        <f t="shared" si="7"/>
        <v>0</v>
      </c>
      <c r="Q15" s="63"/>
      <c r="S15" t="s">
        <v>49</v>
      </c>
      <c r="T15" t="s">
        <v>50</v>
      </c>
      <c r="U15" t="s">
        <v>51</v>
      </c>
      <c r="V15" s="6" t="e">
        <f>SUM(#REF!)</f>
        <v>#REF!</v>
      </c>
    </row>
    <row r="16" spans="1:24" ht="15.75" x14ac:dyDescent="0.25">
      <c r="A16" s="12">
        <f t="shared" si="1"/>
        <v>6</v>
      </c>
      <c r="B16" s="13">
        <f t="shared" si="8"/>
        <v>45332</v>
      </c>
      <c r="C16" s="14" t="str" cm="1">
        <f t="array" ref="C16">_xlfn.SWITCH(WEEKDAY($D16, 2), 1, "mandag", 2, "tirsdag", 3, "onsdag", 4, "torsdag", 5, "fredag", 6, "lørdag", 7, "søndag")</f>
        <v>lørdag</v>
      </c>
      <c r="D16">
        <f t="shared" si="0"/>
        <v>7</v>
      </c>
      <c r="E16" s="42">
        <f t="shared" si="2"/>
        <v>45332</v>
      </c>
      <c r="F16" s="15" t="s">
        <v>21</v>
      </c>
      <c r="G16" s="17" cm="1">
        <f t="array" ref="G16">IFERROR(IF(OR(AND(Masterdata!$B$4&lt;&gt;DATE(1900,1,0), Masterdata!$B$4&lt;$E16), AND(Masterdata!$B$3&lt;&gt;DATE(1900,1,0), Masterdata!$B$3&gt;$E16)), IF($H16&gt;TIME(0,0,0), "tast i næste felt", 0), IF($H16&gt;TIME(0,0,0), "Tast i næste felt", IF($H16&gt;0, 0, _xlfn.IFS($C16="lørdag", 0, $C16="søndag", 0, $F16="N", $V$8)))), "Tast i næste felt")</f>
        <v>0</v>
      </c>
      <c r="H16" s="17">
        <v>0</v>
      </c>
      <c r="I16" s="16">
        <v>0</v>
      </c>
      <c r="J16" s="16">
        <v>0</v>
      </c>
      <c r="K16" s="50" t="str">
        <f>IF(OR(AND(Masterdata!$B$4&lt;&gt;DATE(1900,1,0),Masterdata!$B$4&lt;$E16),AND(Masterdata!$B$3&lt;&gt;DATE(1900,1,0),Masterdata!$B$3&gt;$E16)), "0:00", IF($H16&gt;TIME(0,0,0), IF($H16-$V$8&gt;=0, TEXT($H16-$V$8, "[t]:mm"), "-"&amp;TEXT(ABS($H16-$V$8), "[t]:mm")), IFERROR(IF($G16-$V$8=0, IF($G16-$V$8&gt;=0, TEXT($G16-$V$8, "[t]:mm"), "-"&amp;TEXT(ABS($G16-$V$8), "[t]:mm")), IF($J16-$I16&gt;=0, TEXT($J16-$I16, "[t]:mm"), "-"&amp;TEXT(ABS($J16-$I16), "[t]:mm"))), IF($J16-$I16-$V$8&gt;=0, TEXT($J16-$I16-$V$8, "[t]:mm"), "-"&amp;TEXT(ABS($J16-$I16-$V$8), "[t]:mm")))))</f>
        <v>0:00</v>
      </c>
      <c r="L16" s="54" t="str">
        <f t="shared" si="3"/>
        <v>0</v>
      </c>
      <c r="M16" s="58" t="str">
        <f t="shared" si="4"/>
        <v>0</v>
      </c>
      <c r="N16" s="51" t="str">
        <f t="shared" si="5"/>
        <v>00</v>
      </c>
      <c r="O16" s="57">
        <f t="shared" si="6"/>
        <v>0</v>
      </c>
      <c r="P16" s="6">
        <f t="shared" si="7"/>
        <v>0</v>
      </c>
      <c r="Q16" s="63"/>
      <c r="S16" t="s">
        <v>23</v>
      </c>
      <c r="T16" t="s">
        <v>52</v>
      </c>
      <c r="U16" t="s">
        <v>53</v>
      </c>
      <c r="V16" s="6" t="e">
        <f>V14-V15</f>
        <v>#REF!</v>
      </c>
    </row>
    <row r="17" spans="1:21" ht="15.75" x14ac:dyDescent="0.25">
      <c r="A17" s="12">
        <f t="shared" si="1"/>
        <v>6</v>
      </c>
      <c r="B17" s="13">
        <f t="shared" si="8"/>
        <v>45333</v>
      </c>
      <c r="C17" s="14" t="str" cm="1">
        <f t="array" ref="C17">_xlfn.SWITCH(WEEKDAY($D17, 2), 1, "mandag", 2, "tirsdag", 3, "onsdag", 4, "torsdag", 5, "fredag", 6, "lørdag", 7, "søndag")</f>
        <v>søndag</v>
      </c>
      <c r="D17">
        <f t="shared" si="0"/>
        <v>8</v>
      </c>
      <c r="E17" s="42">
        <f t="shared" si="2"/>
        <v>45333</v>
      </c>
      <c r="F17" s="15" t="s">
        <v>21</v>
      </c>
      <c r="G17" s="17" cm="1">
        <f t="array" ref="G17">IFERROR(IF(OR(AND(Masterdata!$B$4&lt;&gt;DATE(1900,1,0), Masterdata!$B$4&lt;$E17), AND(Masterdata!$B$3&lt;&gt;DATE(1900,1,0), Masterdata!$B$3&gt;$E17)), IF($H17&gt;TIME(0,0,0), "tast i næste felt", 0), IF($H17&gt;TIME(0,0,0), "Tast i næste felt", IF($H17&gt;0, 0, _xlfn.IFS($C17="lørdag", 0, $C17="søndag", 0, $F17="N", $V$8)))), "Tast i næste felt")</f>
        <v>0</v>
      </c>
      <c r="H17" s="17">
        <v>0</v>
      </c>
      <c r="I17" s="16">
        <v>0</v>
      </c>
      <c r="J17" s="16">
        <v>0</v>
      </c>
      <c r="K17" s="50" t="str">
        <f>IF(OR(AND(Masterdata!$B$4&lt;&gt;DATE(1900,1,0),Masterdata!$B$4&lt;$E17),AND(Masterdata!$B$3&lt;&gt;DATE(1900,1,0),Masterdata!$B$3&gt;$E17)), "0:00", IF($H17&gt;TIME(0,0,0), IF($H17-$V$8&gt;=0, TEXT($H17-$V$8, "[t]:mm"), "-"&amp;TEXT(ABS($H17-$V$8), "[t]:mm")), IFERROR(IF($G17-$V$8=0, IF($G17-$V$8&gt;=0, TEXT($G17-$V$8, "[t]:mm"), "-"&amp;TEXT(ABS($G17-$V$8), "[t]:mm")), IF($J17-$I17&gt;=0, TEXT($J17-$I17, "[t]:mm"), "-"&amp;TEXT(ABS($J17-$I17), "[t]:mm"))), IF($J17-$I17-$V$8&gt;=0, TEXT($J17-$I17-$V$8, "[t]:mm"), "-"&amp;TEXT(ABS($J17-$I17-$V$8), "[t]:mm")))))</f>
        <v>0:00</v>
      </c>
      <c r="L17" s="54" t="str">
        <f t="shared" si="3"/>
        <v>0</v>
      </c>
      <c r="M17" s="58" t="str">
        <f t="shared" si="4"/>
        <v>0</v>
      </c>
      <c r="N17" s="51" t="str">
        <f t="shared" si="5"/>
        <v>00</v>
      </c>
      <c r="O17" s="57">
        <f t="shared" si="6"/>
        <v>0</v>
      </c>
      <c r="P17" s="6">
        <f t="shared" si="7"/>
        <v>0</v>
      </c>
      <c r="Q17" s="63"/>
      <c r="U17" s="42"/>
    </row>
    <row r="18" spans="1:21" ht="15.75" x14ac:dyDescent="0.25">
      <c r="A18" s="12">
        <f t="shared" si="1"/>
        <v>7</v>
      </c>
      <c r="B18" s="13">
        <f t="shared" si="8"/>
        <v>45334</v>
      </c>
      <c r="C18" s="14" t="str" cm="1">
        <f t="array" ref="C18">_xlfn.SWITCH(WEEKDAY($D18, 2), 1, "mandag", 2, "tirsdag", 3, "onsdag", 4, "torsdag", 5, "fredag", 6, "lørdag", 7, "søndag")</f>
        <v>mandag</v>
      </c>
      <c r="D18">
        <f t="shared" si="0"/>
        <v>2</v>
      </c>
      <c r="E18" s="42">
        <f t="shared" si="2"/>
        <v>45334</v>
      </c>
      <c r="F18" s="15" t="s">
        <v>21</v>
      </c>
      <c r="G18" s="17" cm="1">
        <f t="array" ref="G18">IFERROR(IF(OR(AND(Masterdata!$B$4&lt;&gt;DATE(1900,1,0), Masterdata!$B$4&lt;$E18), AND(Masterdata!$B$3&lt;&gt;DATE(1900,1,0), Masterdata!$B$3&gt;$E18)), IF($H18&gt;TIME(0,0,0), "tast i næste felt", 0), IF($H18&gt;TIME(0,0,0), "Tast i næste felt", IF($H18&gt;0, 0, _xlfn.IFS($C18="lørdag", 0, $C18="søndag", 0, $F18="N", $V$8)))), "Tast i næste felt")</f>
        <v>0.30833333333333335</v>
      </c>
      <c r="H18" s="17">
        <v>0</v>
      </c>
      <c r="I18" s="16">
        <v>0</v>
      </c>
      <c r="J18" s="16">
        <v>0</v>
      </c>
      <c r="K18" s="50" t="str">
        <f>IF(OR(AND(Masterdata!$B$4&lt;&gt;DATE(1900,1,0),Masterdata!$B$4&lt;$E18),AND(Masterdata!$B$3&lt;&gt;DATE(1900,1,0),Masterdata!$B$3&gt;$E18)), "0:00", IF($H18&gt;TIME(0,0,0), IF($H18-$V$8&gt;=0, TEXT($H18-$V$8, "[t]:mm"), "-"&amp;TEXT(ABS($H18-$V$8), "[t]:mm")), IFERROR(IF($G18-$V$8=0, IF($G18-$V$8&gt;=0, TEXT($G18-$V$8, "[t]:mm"), "-"&amp;TEXT(ABS($G18-$V$8), "[t]:mm")), IF($J18-$I18&gt;=0, TEXT($J18-$I18, "[t]:mm"), "-"&amp;TEXT(ABS($J18-$I18), "[t]:mm"))), IF($J18-$I18-$V$8&gt;=0, TEXT($J18-$I18-$V$8, "[t]:mm"), "-"&amp;TEXT(ABS($J18-$I18-$V$8), "[t]:mm")))))</f>
        <v>0:00</v>
      </c>
      <c r="L18" s="54" t="str">
        <f t="shared" si="3"/>
        <v>0</v>
      </c>
      <c r="M18" s="58" t="str">
        <f t="shared" si="4"/>
        <v>0</v>
      </c>
      <c r="N18" s="51" t="str">
        <f t="shared" si="5"/>
        <v>00</v>
      </c>
      <c r="O18" s="57">
        <f t="shared" si="6"/>
        <v>0</v>
      </c>
      <c r="P18" s="6">
        <f t="shared" si="7"/>
        <v>0</v>
      </c>
      <c r="Q18" s="63"/>
      <c r="R18" s="52"/>
    </row>
    <row r="19" spans="1:21" ht="15.75" x14ac:dyDescent="0.25">
      <c r="A19" s="12">
        <f t="shared" si="1"/>
        <v>7</v>
      </c>
      <c r="B19" s="13">
        <f t="shared" si="8"/>
        <v>45335</v>
      </c>
      <c r="C19" s="14" t="str" cm="1">
        <f t="array" ref="C19">_xlfn.SWITCH(WEEKDAY($D19, 2), 1, "mandag", 2, "tirsdag", 3, "onsdag", 4, "torsdag", 5, "fredag", 6, "lørdag", 7, "søndag")</f>
        <v>tirsdag</v>
      </c>
      <c r="D19">
        <f t="shared" si="0"/>
        <v>3</v>
      </c>
      <c r="E19" s="42">
        <f t="shared" si="2"/>
        <v>45335</v>
      </c>
      <c r="F19" s="15" t="s">
        <v>21</v>
      </c>
      <c r="G19" s="17" cm="1">
        <f t="array" ref="G19">IFERROR(IF(OR(AND(Masterdata!$B$4&lt;&gt;DATE(1900,1,0), Masterdata!$B$4&lt;$E19), AND(Masterdata!$B$3&lt;&gt;DATE(1900,1,0), Masterdata!$B$3&gt;$E19)), IF($H19&gt;TIME(0,0,0), "tast i næste felt", 0), IF($H19&gt;TIME(0,0,0), "Tast i næste felt", IF($H19&gt;0, 0, _xlfn.IFS($C19="lørdag", 0, $C19="søndag", 0, $F19="N", $V$8)))), "Tast i næste felt")</f>
        <v>0.30833333333333335</v>
      </c>
      <c r="H19" s="17">
        <v>0</v>
      </c>
      <c r="I19" s="16">
        <v>0</v>
      </c>
      <c r="J19" s="16">
        <v>0</v>
      </c>
      <c r="K19" s="50" t="str">
        <f>IF(OR(AND(Masterdata!$B$4&lt;&gt;DATE(1900,1,0),Masterdata!$B$4&lt;$E19),AND(Masterdata!$B$3&lt;&gt;DATE(1900,1,0),Masterdata!$B$3&gt;$E19)), "0:00", IF($H19&gt;TIME(0,0,0), IF($H19-$V$8&gt;=0, TEXT($H19-$V$8, "[t]:mm"), "-"&amp;TEXT(ABS($H19-$V$8), "[t]:mm")), IFERROR(IF($G19-$V$8=0, IF($G19-$V$8&gt;=0, TEXT($G19-$V$8, "[t]:mm"), "-"&amp;TEXT(ABS($G19-$V$8), "[t]:mm")), IF($J19-$I19&gt;=0, TEXT($J19-$I19, "[t]:mm"), "-"&amp;TEXT(ABS($J19-$I19), "[t]:mm"))), IF($J19-$I19-$V$8&gt;=0, TEXT($J19-$I19-$V$8, "[t]:mm"), "-"&amp;TEXT(ABS($J19-$I19-$V$8), "[t]:mm")))))</f>
        <v>0:00</v>
      </c>
      <c r="L19" s="54" t="str">
        <f t="shared" si="3"/>
        <v>0</v>
      </c>
      <c r="M19" s="58" t="str">
        <f t="shared" si="4"/>
        <v>0</v>
      </c>
      <c r="N19" s="51" t="str">
        <f t="shared" si="5"/>
        <v>00</v>
      </c>
      <c r="O19" s="57">
        <f t="shared" si="6"/>
        <v>0</v>
      </c>
      <c r="P19" s="6">
        <f t="shared" si="7"/>
        <v>0</v>
      </c>
      <c r="Q19" s="63"/>
    </row>
    <row r="20" spans="1:21" ht="15.75" x14ac:dyDescent="0.25">
      <c r="A20" s="12">
        <f t="shared" si="1"/>
        <v>7</v>
      </c>
      <c r="B20" s="13">
        <f t="shared" si="8"/>
        <v>45336</v>
      </c>
      <c r="C20" s="14" t="str" cm="1">
        <f t="array" ref="C20">_xlfn.SWITCH(WEEKDAY($D20, 2), 1, "mandag", 2, "tirsdag", 3, "onsdag", 4, "torsdag", 5, "fredag", 6, "lørdag", 7, "søndag")</f>
        <v>onsdag</v>
      </c>
      <c r="D20">
        <f t="shared" si="0"/>
        <v>4</v>
      </c>
      <c r="E20" s="42">
        <f t="shared" si="2"/>
        <v>45336</v>
      </c>
      <c r="F20" s="15" t="s">
        <v>21</v>
      </c>
      <c r="G20" s="17" cm="1">
        <f t="array" ref="G20">IFERROR(IF(OR(AND(Masterdata!$B$4&lt;&gt;DATE(1900,1,0), Masterdata!$B$4&lt;$E20), AND(Masterdata!$B$3&lt;&gt;DATE(1900,1,0), Masterdata!$B$3&gt;$E20)), IF($H20&gt;TIME(0,0,0), "tast i næste felt", 0), IF($H20&gt;TIME(0,0,0), "Tast i næste felt", IF($H20&gt;0, 0, _xlfn.IFS($C20="lørdag", 0, $C20="søndag", 0, $F20="N", $V$8)))), "Tast i næste felt")</f>
        <v>0.30833333333333335</v>
      </c>
      <c r="H20" s="17">
        <v>0</v>
      </c>
      <c r="I20" s="16">
        <v>0</v>
      </c>
      <c r="J20" s="16">
        <v>0</v>
      </c>
      <c r="K20" s="50" t="str">
        <f>IF(OR(AND(Masterdata!$B$4&lt;&gt;DATE(1900,1,0),Masterdata!$B$4&lt;$E20),AND(Masterdata!$B$3&lt;&gt;DATE(1900,1,0),Masterdata!$B$3&gt;$E20)), "0:00", IF($H20&gt;TIME(0,0,0), IF($H20-$V$8&gt;=0, TEXT($H20-$V$8, "[t]:mm"), "-"&amp;TEXT(ABS($H20-$V$8), "[t]:mm")), IFERROR(IF($G20-$V$8=0, IF($G20-$V$8&gt;=0, TEXT($G20-$V$8, "[t]:mm"), "-"&amp;TEXT(ABS($G20-$V$8), "[t]:mm")), IF($J20-$I20&gt;=0, TEXT($J20-$I20, "[t]:mm"), "-"&amp;TEXT(ABS($J20-$I20), "[t]:mm"))), IF($J20-$I20-$V$8&gt;=0, TEXT($J20-$I20-$V$8, "[t]:mm"), "-"&amp;TEXT(ABS($J20-$I20-$V$8), "[t]:mm")))))</f>
        <v>0:00</v>
      </c>
      <c r="L20" s="54" t="str">
        <f t="shared" si="3"/>
        <v>0</v>
      </c>
      <c r="M20" s="58" t="str">
        <f t="shared" si="4"/>
        <v>0</v>
      </c>
      <c r="N20" s="51" t="str">
        <f t="shared" si="5"/>
        <v>00</v>
      </c>
      <c r="O20" s="57">
        <f t="shared" si="6"/>
        <v>0</v>
      </c>
      <c r="P20" s="6">
        <f t="shared" si="7"/>
        <v>0</v>
      </c>
      <c r="Q20" s="63"/>
    </row>
    <row r="21" spans="1:21" ht="15.75" x14ac:dyDescent="0.25">
      <c r="A21" s="12">
        <f t="shared" si="1"/>
        <v>7</v>
      </c>
      <c r="B21" s="13">
        <f t="shared" si="8"/>
        <v>45337</v>
      </c>
      <c r="C21" s="14" t="str" cm="1">
        <f t="array" ref="C21">_xlfn.SWITCH(WEEKDAY($D21, 2), 1, "mandag", 2, "tirsdag", 3, "onsdag", 4, "torsdag", 5, "fredag", 6, "lørdag", 7, "søndag")</f>
        <v>torsdag</v>
      </c>
      <c r="D21">
        <f t="shared" si="0"/>
        <v>5</v>
      </c>
      <c r="E21" s="42">
        <f t="shared" si="2"/>
        <v>45337</v>
      </c>
      <c r="F21" s="15" t="s">
        <v>21</v>
      </c>
      <c r="G21" s="17" cm="1">
        <f t="array" ref="G21">IFERROR(IF(OR(AND(Masterdata!$B$4&lt;&gt;DATE(1900,1,0), Masterdata!$B$4&lt;$E21), AND(Masterdata!$B$3&lt;&gt;DATE(1900,1,0), Masterdata!$B$3&gt;$E21)), IF($H21&gt;TIME(0,0,0), "tast i næste felt", 0), IF($H21&gt;TIME(0,0,0), "Tast i næste felt", IF($H21&gt;0, 0, _xlfn.IFS($C21="lørdag", 0, $C21="søndag", 0, $F21="N", $V$8)))), "Tast i næste felt")</f>
        <v>0.30833333333333335</v>
      </c>
      <c r="H21" s="17">
        <v>0</v>
      </c>
      <c r="I21" s="16">
        <v>0</v>
      </c>
      <c r="J21" s="16">
        <v>0</v>
      </c>
      <c r="K21" s="50" t="str">
        <f>IF(OR(AND(Masterdata!$B$4&lt;&gt;DATE(1900,1,0),Masterdata!$B$4&lt;$E21),AND(Masterdata!$B$3&lt;&gt;DATE(1900,1,0),Masterdata!$B$3&gt;$E21)), "0:00", IF($H21&gt;TIME(0,0,0), IF($H21-$V$8&gt;=0, TEXT($H21-$V$8, "[t]:mm"), "-"&amp;TEXT(ABS($H21-$V$8), "[t]:mm")), IFERROR(IF($G21-$V$8=0, IF($G21-$V$8&gt;=0, TEXT($G21-$V$8, "[t]:mm"), "-"&amp;TEXT(ABS($G21-$V$8), "[t]:mm")), IF($J21-$I21&gt;=0, TEXT($J21-$I21, "[t]:mm"), "-"&amp;TEXT(ABS($J21-$I21), "[t]:mm"))), IF($J21-$I21-$V$8&gt;=0, TEXT($J21-$I21-$V$8, "[t]:mm"), "-"&amp;TEXT(ABS($J21-$I21-$V$8), "[t]:mm")))))</f>
        <v>0:00</v>
      </c>
      <c r="L21" s="54" t="str">
        <f t="shared" si="3"/>
        <v>0</v>
      </c>
      <c r="M21" s="58" t="str">
        <f t="shared" si="4"/>
        <v>0</v>
      </c>
      <c r="N21" s="51" t="str">
        <f t="shared" si="5"/>
        <v>00</v>
      </c>
      <c r="O21" s="57">
        <f t="shared" si="6"/>
        <v>0</v>
      </c>
      <c r="P21" s="6">
        <f t="shared" si="7"/>
        <v>0</v>
      </c>
      <c r="Q21" s="63"/>
    </row>
    <row r="22" spans="1:21" ht="15.75" x14ac:dyDescent="0.25">
      <c r="A22" s="12">
        <f t="shared" si="1"/>
        <v>7</v>
      </c>
      <c r="B22" s="13">
        <f t="shared" si="8"/>
        <v>45338</v>
      </c>
      <c r="C22" s="14" t="str" cm="1">
        <f t="array" ref="C22">_xlfn.SWITCH(WEEKDAY($D22, 2), 1, "mandag", 2, "tirsdag", 3, "onsdag", 4, "torsdag", 5, "fredag", 6, "lørdag", 7, "søndag")</f>
        <v>fredag</v>
      </c>
      <c r="D22">
        <f t="shared" si="0"/>
        <v>6</v>
      </c>
      <c r="E22" s="42">
        <f t="shared" si="2"/>
        <v>45338</v>
      </c>
      <c r="F22" s="15" t="s">
        <v>21</v>
      </c>
      <c r="G22" s="17" cm="1">
        <f t="array" ref="G22">IFERROR(IF(OR(AND(Masterdata!$B$4&lt;&gt;DATE(1900,1,0), Masterdata!$B$4&lt;$E22), AND(Masterdata!$B$3&lt;&gt;DATE(1900,1,0), Masterdata!$B$3&gt;$E22)), IF($H22&gt;TIME(0,0,0), "tast i næste felt", 0), IF($H22&gt;TIME(0,0,0), "Tast i næste felt", IF($H22&gt;0, 0, _xlfn.IFS($C22="lørdag", 0, $C22="søndag", 0, $F22="N", $V$8)))), "Tast i næste felt")</f>
        <v>0.30833333333333335</v>
      </c>
      <c r="H22" s="17">
        <v>0</v>
      </c>
      <c r="I22" s="16">
        <v>0</v>
      </c>
      <c r="J22" s="16">
        <v>0</v>
      </c>
      <c r="K22" s="50" t="str">
        <f>IF(OR(AND(Masterdata!$B$4&lt;&gt;DATE(1900,1,0),Masterdata!$B$4&lt;$E22),AND(Masterdata!$B$3&lt;&gt;DATE(1900,1,0),Masterdata!$B$3&gt;$E22)), "0:00", IF($H22&gt;TIME(0,0,0), IF($H22-$V$8&gt;=0, TEXT($H22-$V$8, "[t]:mm"), "-"&amp;TEXT(ABS($H22-$V$8), "[t]:mm")), IFERROR(IF($G22-$V$8=0, IF($G22-$V$8&gt;=0, TEXT($G22-$V$8, "[t]:mm"), "-"&amp;TEXT(ABS($G22-$V$8), "[t]:mm")), IF($J22-$I22&gt;=0, TEXT($J22-$I22, "[t]:mm"), "-"&amp;TEXT(ABS($J22-$I22), "[t]:mm"))), IF($J22-$I22-$V$8&gt;=0, TEXT($J22-$I22-$V$8, "[t]:mm"), "-"&amp;TEXT(ABS($J22-$I22-$V$8), "[t]:mm")))))</f>
        <v>0:00</v>
      </c>
      <c r="L22" s="54" t="str">
        <f t="shared" si="3"/>
        <v>0</v>
      </c>
      <c r="M22" s="58" t="str">
        <f t="shared" si="4"/>
        <v>0</v>
      </c>
      <c r="N22" s="51" t="str">
        <f t="shared" si="5"/>
        <v>00</v>
      </c>
      <c r="O22" s="57">
        <f t="shared" si="6"/>
        <v>0</v>
      </c>
      <c r="P22" s="6">
        <f t="shared" si="7"/>
        <v>0</v>
      </c>
      <c r="Q22" s="63"/>
    </row>
    <row r="23" spans="1:21" ht="15.75" x14ac:dyDescent="0.25">
      <c r="A23" s="12">
        <f t="shared" si="1"/>
        <v>7</v>
      </c>
      <c r="B23" s="13">
        <f t="shared" si="8"/>
        <v>45339</v>
      </c>
      <c r="C23" s="14" t="str" cm="1">
        <f t="array" ref="C23">_xlfn.SWITCH(WEEKDAY($D23, 2), 1, "mandag", 2, "tirsdag", 3, "onsdag", 4, "torsdag", 5, "fredag", 6, "lørdag", 7, "søndag")</f>
        <v>lørdag</v>
      </c>
      <c r="D23">
        <f t="shared" si="0"/>
        <v>7</v>
      </c>
      <c r="E23" s="42">
        <f t="shared" si="2"/>
        <v>45339</v>
      </c>
      <c r="F23" s="15" t="s">
        <v>21</v>
      </c>
      <c r="G23" s="17" cm="1">
        <f t="array" ref="G23">IFERROR(IF(OR(AND(Masterdata!$B$4&lt;&gt;DATE(1900,1,0), Masterdata!$B$4&lt;$E23), AND(Masterdata!$B$3&lt;&gt;DATE(1900,1,0), Masterdata!$B$3&gt;$E23)), IF($H23&gt;TIME(0,0,0), "tast i næste felt", 0), IF($H23&gt;TIME(0,0,0), "Tast i næste felt", IF($H23&gt;0, 0, _xlfn.IFS($C23="lørdag", 0, $C23="søndag", 0, $F23="N", $V$8)))), "Tast i næste felt")</f>
        <v>0</v>
      </c>
      <c r="H23" s="17">
        <v>0</v>
      </c>
      <c r="I23" s="16">
        <v>0</v>
      </c>
      <c r="J23" s="16">
        <v>0</v>
      </c>
      <c r="K23" s="50" t="str">
        <f>IF(OR(AND(Masterdata!$B$4&lt;&gt;DATE(1900,1,0),Masterdata!$B$4&lt;$E23),AND(Masterdata!$B$3&lt;&gt;DATE(1900,1,0),Masterdata!$B$3&gt;$E23)), "0:00", IF($H23&gt;TIME(0,0,0), IF($H23-$V$8&gt;=0, TEXT($H23-$V$8, "[t]:mm"), "-"&amp;TEXT(ABS($H23-$V$8), "[t]:mm")), IFERROR(IF($G23-$V$8=0, IF($G23-$V$8&gt;=0, TEXT($G23-$V$8, "[t]:mm"), "-"&amp;TEXT(ABS($G23-$V$8), "[t]:mm")), IF($J23-$I23&gt;=0, TEXT($J23-$I23, "[t]:mm"), "-"&amp;TEXT(ABS($J23-$I23), "[t]:mm"))), IF($J23-$I23-$V$8&gt;=0, TEXT($J23-$I23-$V$8, "[t]:mm"), "-"&amp;TEXT(ABS($J23-$I23-$V$8), "[t]:mm")))))</f>
        <v>0:00</v>
      </c>
      <c r="L23" s="54" t="str">
        <f t="shared" si="3"/>
        <v>0</v>
      </c>
      <c r="M23" s="58" t="str">
        <f t="shared" si="4"/>
        <v>0</v>
      </c>
      <c r="N23" s="51" t="str">
        <f t="shared" si="5"/>
        <v>00</v>
      </c>
      <c r="O23" s="57">
        <f t="shared" si="6"/>
        <v>0</v>
      </c>
      <c r="P23" s="6">
        <f t="shared" si="7"/>
        <v>0</v>
      </c>
      <c r="Q23" s="63"/>
    </row>
    <row r="24" spans="1:21" ht="15.75" x14ac:dyDescent="0.25">
      <c r="A24" s="12">
        <f t="shared" si="1"/>
        <v>7</v>
      </c>
      <c r="B24" s="13">
        <f t="shared" si="8"/>
        <v>45340</v>
      </c>
      <c r="C24" s="14" t="str" cm="1">
        <f t="array" ref="C24">_xlfn.SWITCH(WEEKDAY($D24, 2), 1, "mandag", 2, "tirsdag", 3, "onsdag", 4, "torsdag", 5, "fredag", 6, "lørdag", 7, "søndag")</f>
        <v>søndag</v>
      </c>
      <c r="D24">
        <f t="shared" si="0"/>
        <v>8</v>
      </c>
      <c r="E24" s="42">
        <f t="shared" si="2"/>
        <v>45340</v>
      </c>
      <c r="F24" s="15" t="s">
        <v>21</v>
      </c>
      <c r="G24" s="17" cm="1">
        <f t="array" ref="G24">IFERROR(IF(OR(AND(Masterdata!$B$4&lt;&gt;DATE(1900,1,0), Masterdata!$B$4&lt;$E24), AND(Masterdata!$B$3&lt;&gt;DATE(1900,1,0), Masterdata!$B$3&gt;$E24)), IF($H24&gt;TIME(0,0,0), "tast i næste felt", 0), IF($H24&gt;TIME(0,0,0), "Tast i næste felt", IF($H24&gt;0, 0, _xlfn.IFS($C24="lørdag", 0, $C24="søndag", 0, $F24="N", $V$8)))), "Tast i næste felt")</f>
        <v>0</v>
      </c>
      <c r="H24" s="17">
        <v>0</v>
      </c>
      <c r="I24" s="16">
        <v>0</v>
      </c>
      <c r="J24" s="16">
        <v>0</v>
      </c>
      <c r="K24" s="50" t="str">
        <f>IF(OR(AND(Masterdata!$B$4&lt;&gt;DATE(1900,1,0),Masterdata!$B$4&lt;$E24),AND(Masterdata!$B$3&lt;&gt;DATE(1900,1,0),Masterdata!$B$3&gt;$E24)), "0:00", IF($H24&gt;TIME(0,0,0), IF($H24-$V$8&gt;=0, TEXT($H24-$V$8, "[t]:mm"), "-"&amp;TEXT(ABS($H24-$V$8), "[t]:mm")), IFERROR(IF($G24-$V$8=0, IF($G24-$V$8&gt;=0, TEXT($G24-$V$8, "[t]:mm"), "-"&amp;TEXT(ABS($G24-$V$8), "[t]:mm")), IF($J24-$I24&gt;=0, TEXT($J24-$I24, "[t]:mm"), "-"&amp;TEXT(ABS($J24-$I24), "[t]:mm"))), IF($J24-$I24-$V$8&gt;=0, TEXT($J24-$I24-$V$8, "[t]:mm"), "-"&amp;TEXT(ABS($J24-$I24-$V$8), "[t]:mm")))))</f>
        <v>0:00</v>
      </c>
      <c r="L24" s="54" t="str">
        <f t="shared" si="3"/>
        <v>0</v>
      </c>
      <c r="M24" s="58" t="str">
        <f t="shared" si="4"/>
        <v>0</v>
      </c>
      <c r="N24" s="51" t="str">
        <f t="shared" si="5"/>
        <v>00</v>
      </c>
      <c r="O24" s="57">
        <f t="shared" si="6"/>
        <v>0</v>
      </c>
      <c r="P24" s="6">
        <f t="shared" si="7"/>
        <v>0</v>
      </c>
      <c r="Q24" s="63"/>
    </row>
    <row r="25" spans="1:21" ht="15.75" x14ac:dyDescent="0.25">
      <c r="A25" s="12">
        <f t="shared" si="1"/>
        <v>8</v>
      </c>
      <c r="B25" s="13">
        <f t="shared" si="8"/>
        <v>45341</v>
      </c>
      <c r="C25" s="14" t="str" cm="1">
        <f t="array" ref="C25">_xlfn.SWITCH(WEEKDAY($D25, 2), 1, "mandag", 2, "tirsdag", 3, "onsdag", 4, "torsdag", 5, "fredag", 6, "lørdag", 7, "søndag")</f>
        <v>mandag</v>
      </c>
      <c r="D25">
        <f t="shared" si="0"/>
        <v>2</v>
      </c>
      <c r="E25" s="42">
        <f t="shared" si="2"/>
        <v>45341</v>
      </c>
      <c r="F25" s="15" t="s">
        <v>21</v>
      </c>
      <c r="G25" s="17" cm="1">
        <f t="array" ref="G25">IFERROR(IF(OR(AND(Masterdata!$B$4&lt;&gt;DATE(1900,1,0), Masterdata!$B$4&lt;$E25), AND(Masterdata!$B$3&lt;&gt;DATE(1900,1,0), Masterdata!$B$3&gt;$E25)), IF($H25&gt;TIME(0,0,0), "tast i næste felt", 0), IF($H25&gt;TIME(0,0,0), "Tast i næste felt", IF($H25&gt;0, 0, _xlfn.IFS($C25="lørdag", 0, $C25="søndag", 0, $F25="N", $V$8)))), "Tast i næste felt")</f>
        <v>0.30833333333333335</v>
      </c>
      <c r="H25" s="17">
        <v>0</v>
      </c>
      <c r="I25" s="16">
        <v>0</v>
      </c>
      <c r="J25" s="16">
        <v>0</v>
      </c>
      <c r="K25" s="50" t="str">
        <f>IF(OR(AND(Masterdata!$B$4&lt;&gt;DATE(1900,1,0),Masterdata!$B$4&lt;$E25),AND(Masterdata!$B$3&lt;&gt;DATE(1900,1,0),Masterdata!$B$3&gt;$E25)), "0:00", IF($H25&gt;TIME(0,0,0), IF($H25-$V$8&gt;=0, TEXT($H25-$V$8, "[t]:mm"), "-"&amp;TEXT(ABS($H25-$V$8), "[t]:mm")), IFERROR(IF($G25-$V$8=0, IF($G25-$V$8&gt;=0, TEXT($G25-$V$8, "[t]:mm"), "-"&amp;TEXT(ABS($G25-$V$8), "[t]:mm")), IF($J25-$I25&gt;=0, TEXT($J25-$I25, "[t]:mm"), "-"&amp;TEXT(ABS($J25-$I25), "[t]:mm"))), IF($J25-$I25-$V$8&gt;=0, TEXT($J25-$I25-$V$8, "[t]:mm"), "-"&amp;TEXT(ABS($J25-$I25-$V$8), "[t]:mm")))))</f>
        <v>0:00</v>
      </c>
      <c r="L25" s="54" t="str">
        <f t="shared" si="3"/>
        <v>0</v>
      </c>
      <c r="M25" s="58" t="str">
        <f t="shared" si="4"/>
        <v>0</v>
      </c>
      <c r="N25" s="51" t="str">
        <f t="shared" si="5"/>
        <v>00</v>
      </c>
      <c r="O25" s="57">
        <f t="shared" si="6"/>
        <v>0</v>
      </c>
      <c r="P25" s="6">
        <f t="shared" si="7"/>
        <v>0</v>
      </c>
      <c r="Q25" s="63"/>
    </row>
    <row r="26" spans="1:21" ht="15.75" x14ac:dyDescent="0.25">
      <c r="A26" s="12">
        <f t="shared" si="1"/>
        <v>8</v>
      </c>
      <c r="B26" s="13">
        <f t="shared" si="8"/>
        <v>45342</v>
      </c>
      <c r="C26" s="14" t="str" cm="1">
        <f t="array" ref="C26">_xlfn.SWITCH(WEEKDAY($D26, 2), 1, "mandag", 2, "tirsdag", 3, "onsdag", 4, "torsdag", 5, "fredag", 6, "lørdag", 7, "søndag")</f>
        <v>tirsdag</v>
      </c>
      <c r="D26">
        <f t="shared" si="0"/>
        <v>3</v>
      </c>
      <c r="E26" s="42">
        <f t="shared" si="2"/>
        <v>45342</v>
      </c>
      <c r="F26" s="15" t="s">
        <v>21</v>
      </c>
      <c r="G26" s="17" cm="1">
        <f t="array" ref="G26">IFERROR(IF(OR(AND(Masterdata!$B$4&lt;&gt;DATE(1900,1,0), Masterdata!$B$4&lt;$E26), AND(Masterdata!$B$3&lt;&gt;DATE(1900,1,0), Masterdata!$B$3&gt;$E26)), IF($H26&gt;TIME(0,0,0), "tast i næste felt", 0), IF($H26&gt;TIME(0,0,0), "Tast i næste felt", IF($H26&gt;0, 0, _xlfn.IFS($C26="lørdag", 0, $C26="søndag", 0, $F26="N", $V$8)))), "Tast i næste felt")</f>
        <v>0.30833333333333335</v>
      </c>
      <c r="H26" s="17">
        <v>0</v>
      </c>
      <c r="I26" s="16">
        <v>0</v>
      </c>
      <c r="J26" s="16">
        <v>0</v>
      </c>
      <c r="K26" s="50" t="str">
        <f>IF(OR(AND(Masterdata!$B$4&lt;&gt;DATE(1900,1,0),Masterdata!$B$4&lt;$E26),AND(Masterdata!$B$3&lt;&gt;DATE(1900,1,0),Masterdata!$B$3&gt;$E26)), "0:00", IF($H26&gt;TIME(0,0,0), IF($H26-$V$8&gt;=0, TEXT($H26-$V$8, "[t]:mm"), "-"&amp;TEXT(ABS($H26-$V$8), "[t]:mm")), IFERROR(IF($G26-$V$8=0, IF($G26-$V$8&gt;=0, TEXT($G26-$V$8, "[t]:mm"), "-"&amp;TEXT(ABS($G26-$V$8), "[t]:mm")), IF($J26-$I26&gt;=0, TEXT($J26-$I26, "[t]:mm"), "-"&amp;TEXT(ABS($J26-$I26), "[t]:mm"))), IF($J26-$I26-$V$8&gt;=0, TEXT($J26-$I26-$V$8, "[t]:mm"), "-"&amp;TEXT(ABS($J26-$I26-$V$8), "[t]:mm")))))</f>
        <v>0:00</v>
      </c>
      <c r="L26" s="54" t="str">
        <f t="shared" si="3"/>
        <v>0</v>
      </c>
      <c r="M26" s="58" t="str">
        <f t="shared" si="4"/>
        <v>0</v>
      </c>
      <c r="N26" s="51" t="str">
        <f t="shared" si="5"/>
        <v>00</v>
      </c>
      <c r="O26" s="57">
        <f t="shared" si="6"/>
        <v>0</v>
      </c>
      <c r="P26" s="6">
        <f t="shared" si="7"/>
        <v>0</v>
      </c>
      <c r="Q26" s="63"/>
    </row>
    <row r="27" spans="1:21" ht="15.75" x14ac:dyDescent="0.25">
      <c r="A27" s="12">
        <f t="shared" si="1"/>
        <v>8</v>
      </c>
      <c r="B27" s="13">
        <f t="shared" si="8"/>
        <v>45343</v>
      </c>
      <c r="C27" s="14" t="str" cm="1">
        <f t="array" ref="C27">_xlfn.SWITCH(WEEKDAY($D27, 2), 1, "mandag", 2, "tirsdag", 3, "onsdag", 4, "torsdag", 5, "fredag", 6, "lørdag", 7, "søndag")</f>
        <v>onsdag</v>
      </c>
      <c r="D27">
        <f t="shared" si="0"/>
        <v>4</v>
      </c>
      <c r="E27" s="42">
        <f t="shared" si="2"/>
        <v>45343</v>
      </c>
      <c r="F27" s="15" t="s">
        <v>21</v>
      </c>
      <c r="G27" s="17" cm="1">
        <f t="array" ref="G27">IFERROR(IF(OR(AND(Masterdata!$B$4&lt;&gt;DATE(1900,1,0), Masterdata!$B$4&lt;$E27), AND(Masterdata!$B$3&lt;&gt;DATE(1900,1,0), Masterdata!$B$3&gt;$E27)), IF($H27&gt;TIME(0,0,0), "tast i næste felt", 0), IF($H27&gt;TIME(0,0,0), "Tast i næste felt", IF($H27&gt;0, 0, _xlfn.IFS($C27="lørdag", 0, $C27="søndag", 0, $F27="N", $V$8)))), "Tast i næste felt")</f>
        <v>0.30833333333333335</v>
      </c>
      <c r="H27" s="17">
        <v>0</v>
      </c>
      <c r="I27" s="16">
        <v>0</v>
      </c>
      <c r="J27" s="16">
        <v>0</v>
      </c>
      <c r="K27" s="50" t="str">
        <f>IF(OR(AND(Masterdata!$B$4&lt;&gt;DATE(1900,1,0),Masterdata!$B$4&lt;$E27),AND(Masterdata!$B$3&lt;&gt;DATE(1900,1,0),Masterdata!$B$3&gt;$E27)), "0:00", IF($H27&gt;TIME(0,0,0), IF($H27-$V$8&gt;=0, TEXT($H27-$V$8, "[t]:mm"), "-"&amp;TEXT(ABS($H27-$V$8), "[t]:mm")), IFERROR(IF($G27-$V$8=0, IF($G27-$V$8&gt;=0, TEXT($G27-$V$8, "[t]:mm"), "-"&amp;TEXT(ABS($G27-$V$8), "[t]:mm")), IF($J27-$I27&gt;=0, TEXT($J27-$I27, "[t]:mm"), "-"&amp;TEXT(ABS($J27-$I27), "[t]:mm"))), IF($J27-$I27-$V$8&gt;=0, TEXT($J27-$I27-$V$8, "[t]:mm"), "-"&amp;TEXT(ABS($J27-$I27-$V$8), "[t]:mm")))))</f>
        <v>0:00</v>
      </c>
      <c r="L27" s="54" t="str">
        <f t="shared" si="3"/>
        <v>0</v>
      </c>
      <c r="M27" s="58" t="str">
        <f t="shared" si="4"/>
        <v>0</v>
      </c>
      <c r="N27" s="51" t="str">
        <f t="shared" si="5"/>
        <v>00</v>
      </c>
      <c r="O27" s="57">
        <f t="shared" si="6"/>
        <v>0</v>
      </c>
      <c r="P27" s="6">
        <f t="shared" si="7"/>
        <v>0</v>
      </c>
      <c r="Q27" s="63"/>
    </row>
    <row r="28" spans="1:21" ht="15.75" x14ac:dyDescent="0.25">
      <c r="A28" s="12">
        <f t="shared" si="1"/>
        <v>8</v>
      </c>
      <c r="B28" s="13">
        <f t="shared" si="8"/>
        <v>45344</v>
      </c>
      <c r="C28" s="14" t="str" cm="1">
        <f t="array" ref="C28">_xlfn.SWITCH(WEEKDAY($D28, 2), 1, "mandag", 2, "tirsdag", 3, "onsdag", 4, "torsdag", 5, "fredag", 6, "lørdag", 7, "søndag")</f>
        <v>torsdag</v>
      </c>
      <c r="D28">
        <f t="shared" si="0"/>
        <v>5</v>
      </c>
      <c r="E28" s="42">
        <f t="shared" si="2"/>
        <v>45344</v>
      </c>
      <c r="F28" s="15" t="s">
        <v>21</v>
      </c>
      <c r="G28" s="17" cm="1">
        <f t="array" ref="G28">IFERROR(IF(OR(AND(Masterdata!$B$4&lt;&gt;DATE(1900,1,0), Masterdata!$B$4&lt;$E28), AND(Masterdata!$B$3&lt;&gt;DATE(1900,1,0), Masterdata!$B$3&gt;$E28)), IF($H28&gt;TIME(0,0,0), "tast i næste felt", 0), IF($H28&gt;TIME(0,0,0), "Tast i næste felt", IF($H28&gt;0, 0, _xlfn.IFS($C28="lørdag", 0, $C28="søndag", 0, $F28="N", $V$8)))), "Tast i næste felt")</f>
        <v>0.30833333333333335</v>
      </c>
      <c r="H28" s="17">
        <v>0</v>
      </c>
      <c r="I28" s="16">
        <v>0</v>
      </c>
      <c r="J28" s="16">
        <v>0</v>
      </c>
      <c r="K28" s="50" t="str">
        <f>IF(OR(AND(Masterdata!$B$4&lt;&gt;DATE(1900,1,0),Masterdata!$B$4&lt;$E28),AND(Masterdata!$B$3&lt;&gt;DATE(1900,1,0),Masterdata!$B$3&gt;$E28)), "0:00", IF($H28&gt;TIME(0,0,0), IF($H28-$V$8&gt;=0, TEXT($H28-$V$8, "[t]:mm"), "-"&amp;TEXT(ABS($H28-$V$8), "[t]:mm")), IFERROR(IF($G28-$V$8=0, IF($G28-$V$8&gt;=0, TEXT($G28-$V$8, "[t]:mm"), "-"&amp;TEXT(ABS($G28-$V$8), "[t]:mm")), IF($J28-$I28&gt;=0, TEXT($J28-$I28, "[t]:mm"), "-"&amp;TEXT(ABS($J28-$I28), "[t]:mm"))), IF($J28-$I28-$V$8&gt;=0, TEXT($J28-$I28-$V$8, "[t]:mm"), "-"&amp;TEXT(ABS($J28-$I28-$V$8), "[t]:mm")))))</f>
        <v>0:00</v>
      </c>
      <c r="L28" s="54" t="str">
        <f t="shared" si="3"/>
        <v>0</v>
      </c>
      <c r="M28" s="58" t="str">
        <f t="shared" si="4"/>
        <v>0</v>
      </c>
      <c r="N28" s="51" t="str">
        <f t="shared" si="5"/>
        <v>00</v>
      </c>
      <c r="O28" s="57">
        <f t="shared" si="6"/>
        <v>0</v>
      </c>
      <c r="P28" s="6">
        <f t="shared" si="7"/>
        <v>0</v>
      </c>
      <c r="Q28" s="63"/>
    </row>
    <row r="29" spans="1:21" ht="15.75" x14ac:dyDescent="0.25">
      <c r="A29" s="12">
        <f t="shared" si="1"/>
        <v>8</v>
      </c>
      <c r="B29" s="13">
        <f t="shared" si="8"/>
        <v>45345</v>
      </c>
      <c r="C29" s="14" t="str" cm="1">
        <f t="array" ref="C29">_xlfn.SWITCH(WEEKDAY($D29, 2), 1, "mandag", 2, "tirsdag", 3, "onsdag", 4, "torsdag", 5, "fredag", 6, "lørdag", 7, "søndag")</f>
        <v>fredag</v>
      </c>
      <c r="D29">
        <f t="shared" si="0"/>
        <v>6</v>
      </c>
      <c r="E29" s="42">
        <f t="shared" si="2"/>
        <v>45345</v>
      </c>
      <c r="F29" s="15" t="s">
        <v>21</v>
      </c>
      <c r="G29" s="17" cm="1">
        <f t="array" ref="G29">IFERROR(IF(OR(AND(Masterdata!$B$4&lt;&gt;DATE(1900,1,0), Masterdata!$B$4&lt;$E29), AND(Masterdata!$B$3&lt;&gt;DATE(1900,1,0), Masterdata!$B$3&gt;$E29)), IF($H29&gt;TIME(0,0,0), "tast i næste felt", 0), IF($H29&gt;TIME(0,0,0), "Tast i næste felt", IF($H29&gt;0, 0, _xlfn.IFS($C29="lørdag", 0, $C29="søndag", 0, $F29="N", $V$8)))), "Tast i næste felt")</f>
        <v>0.30833333333333335</v>
      </c>
      <c r="H29" s="17">
        <v>0</v>
      </c>
      <c r="I29" s="16">
        <v>0</v>
      </c>
      <c r="J29" s="16">
        <v>0</v>
      </c>
      <c r="K29" s="50" t="str">
        <f>IF(OR(AND(Masterdata!$B$4&lt;&gt;DATE(1900,1,0),Masterdata!$B$4&lt;$E29),AND(Masterdata!$B$3&lt;&gt;DATE(1900,1,0),Masterdata!$B$3&gt;$E29)), "0:00", IF($H29&gt;TIME(0,0,0), IF($H29-$V$8&gt;=0, TEXT($H29-$V$8, "[t]:mm"), "-"&amp;TEXT(ABS($H29-$V$8), "[t]:mm")), IFERROR(IF($G29-$V$8=0, IF($G29-$V$8&gt;=0, TEXT($G29-$V$8, "[t]:mm"), "-"&amp;TEXT(ABS($G29-$V$8), "[t]:mm")), IF($J29-$I29&gt;=0, TEXT($J29-$I29, "[t]:mm"), "-"&amp;TEXT(ABS($J29-$I29), "[t]:mm"))), IF($J29-$I29-$V$8&gt;=0, TEXT($J29-$I29-$V$8, "[t]:mm"), "-"&amp;TEXT(ABS($J29-$I29-$V$8), "[t]:mm")))))</f>
        <v>0:00</v>
      </c>
      <c r="L29" s="54" t="str">
        <f t="shared" si="3"/>
        <v>0</v>
      </c>
      <c r="M29" s="58" t="str">
        <f t="shared" si="4"/>
        <v>0</v>
      </c>
      <c r="N29" s="51" t="str">
        <f t="shared" si="5"/>
        <v>00</v>
      </c>
      <c r="O29" s="57">
        <f t="shared" si="6"/>
        <v>0</v>
      </c>
      <c r="P29" s="6">
        <f t="shared" si="7"/>
        <v>0</v>
      </c>
      <c r="Q29" s="63"/>
    </row>
    <row r="30" spans="1:21" ht="15.75" x14ac:dyDescent="0.25">
      <c r="A30" s="12">
        <f t="shared" si="1"/>
        <v>8</v>
      </c>
      <c r="B30" s="13">
        <f t="shared" si="8"/>
        <v>45346</v>
      </c>
      <c r="C30" s="14" t="str" cm="1">
        <f t="array" ref="C30">_xlfn.SWITCH(WEEKDAY($D30, 2), 1, "mandag", 2, "tirsdag", 3, "onsdag", 4, "torsdag", 5, "fredag", 6, "lørdag", 7, "søndag")</f>
        <v>lørdag</v>
      </c>
      <c r="D30">
        <f t="shared" si="0"/>
        <v>7</v>
      </c>
      <c r="E30" s="42">
        <f t="shared" si="2"/>
        <v>45346</v>
      </c>
      <c r="F30" s="15" t="s">
        <v>21</v>
      </c>
      <c r="G30" s="17" cm="1">
        <f t="array" ref="G30">IFERROR(IF(OR(AND(Masterdata!$B$4&lt;&gt;DATE(1900,1,0), Masterdata!$B$4&lt;$E30), AND(Masterdata!$B$3&lt;&gt;DATE(1900,1,0), Masterdata!$B$3&gt;$E30)), IF($H30&gt;TIME(0,0,0), "tast i næste felt", 0), IF($H30&gt;TIME(0,0,0), "Tast i næste felt", IF($H30&gt;0, 0, _xlfn.IFS($C30="lørdag", 0, $C30="søndag", 0, $F30="N", $V$8)))), "Tast i næste felt")</f>
        <v>0</v>
      </c>
      <c r="H30" s="17">
        <v>0</v>
      </c>
      <c r="I30" s="16">
        <v>0</v>
      </c>
      <c r="J30" s="16">
        <v>0</v>
      </c>
      <c r="K30" s="50" t="str">
        <f>IF(OR(AND(Masterdata!$B$4&lt;&gt;DATE(1900,1,0),Masterdata!$B$4&lt;$E30),AND(Masterdata!$B$3&lt;&gt;DATE(1900,1,0),Masterdata!$B$3&gt;$E30)), "0:00", IF($H30&gt;TIME(0,0,0), IF($H30-$V$8&gt;=0, TEXT($H30-$V$8, "[t]:mm"), "-"&amp;TEXT(ABS($H30-$V$8), "[t]:mm")), IFERROR(IF($G30-$V$8=0, IF($G30-$V$8&gt;=0, TEXT($G30-$V$8, "[t]:mm"), "-"&amp;TEXT(ABS($G30-$V$8), "[t]:mm")), IF($J30-$I30&gt;=0, TEXT($J30-$I30, "[t]:mm"), "-"&amp;TEXT(ABS($J30-$I30), "[t]:mm"))), IF($J30-$I30-$V$8&gt;=0, TEXT($J30-$I30-$V$8, "[t]:mm"), "-"&amp;TEXT(ABS($J30-$I30-$V$8), "[t]:mm")))))</f>
        <v>0:00</v>
      </c>
      <c r="L30" s="54" t="str">
        <f t="shared" si="3"/>
        <v>0</v>
      </c>
      <c r="M30" s="58" t="str">
        <f t="shared" si="4"/>
        <v>0</v>
      </c>
      <c r="N30" s="51" t="str">
        <f t="shared" si="5"/>
        <v>00</v>
      </c>
      <c r="O30" s="57">
        <f t="shared" si="6"/>
        <v>0</v>
      </c>
      <c r="P30" s="6">
        <f t="shared" si="7"/>
        <v>0</v>
      </c>
      <c r="Q30" s="63"/>
    </row>
    <row r="31" spans="1:21" ht="15.75" x14ac:dyDescent="0.25">
      <c r="A31" s="12">
        <f t="shared" si="1"/>
        <v>8</v>
      </c>
      <c r="B31" s="13">
        <f t="shared" si="8"/>
        <v>45347</v>
      </c>
      <c r="C31" s="14" t="str" cm="1">
        <f t="array" ref="C31">_xlfn.SWITCH(WEEKDAY($D31, 2), 1, "mandag", 2, "tirsdag", 3, "onsdag", 4, "torsdag", 5, "fredag", 6, "lørdag", 7, "søndag")</f>
        <v>søndag</v>
      </c>
      <c r="D31">
        <f t="shared" si="0"/>
        <v>8</v>
      </c>
      <c r="E31" s="42">
        <f t="shared" si="2"/>
        <v>45347</v>
      </c>
      <c r="F31" s="15" t="s">
        <v>21</v>
      </c>
      <c r="G31" s="17" cm="1">
        <f t="array" ref="G31">IFERROR(IF(OR(AND(Masterdata!$B$4&lt;&gt;DATE(1900,1,0), Masterdata!$B$4&lt;$E31), AND(Masterdata!$B$3&lt;&gt;DATE(1900,1,0), Masterdata!$B$3&gt;$E31)), IF($H31&gt;TIME(0,0,0), "tast i næste felt", 0), IF($H31&gt;TIME(0,0,0), "Tast i næste felt", IF($H31&gt;0, 0, _xlfn.IFS($C31="lørdag", 0, $C31="søndag", 0, $F31="N", $V$8)))), "Tast i næste felt")</f>
        <v>0</v>
      </c>
      <c r="H31" s="17">
        <v>0</v>
      </c>
      <c r="I31" s="16">
        <v>0</v>
      </c>
      <c r="J31" s="16">
        <v>0</v>
      </c>
      <c r="K31" s="50" t="str">
        <f>IF(OR(AND(Masterdata!$B$4&lt;&gt;DATE(1900,1,0),Masterdata!$B$4&lt;$E31),AND(Masterdata!$B$3&lt;&gt;DATE(1900,1,0),Masterdata!$B$3&gt;$E31)), "0:00", IF($H31&gt;TIME(0,0,0), IF($H31-$V$8&gt;=0, TEXT($H31-$V$8, "[t]:mm"), "-"&amp;TEXT(ABS($H31-$V$8), "[t]:mm")), IFERROR(IF($G31-$V$8=0, IF($G31-$V$8&gt;=0, TEXT($G31-$V$8, "[t]:mm"), "-"&amp;TEXT(ABS($G31-$V$8), "[t]:mm")), IF($J31-$I31&gt;=0, TEXT($J31-$I31, "[t]:mm"), "-"&amp;TEXT(ABS($J31-$I31), "[t]:mm"))), IF($J31-$I31-$V$8&gt;=0, TEXT($J31-$I31-$V$8, "[t]:mm"), "-"&amp;TEXT(ABS($J31-$I31-$V$8), "[t]:mm")))))</f>
        <v>0:00</v>
      </c>
      <c r="L31" s="54" t="str">
        <f t="shared" si="3"/>
        <v>0</v>
      </c>
      <c r="M31" s="58" t="str">
        <f t="shared" si="4"/>
        <v>0</v>
      </c>
      <c r="N31" s="51" t="str">
        <f t="shared" si="5"/>
        <v>00</v>
      </c>
      <c r="O31" s="57">
        <f t="shared" si="6"/>
        <v>0</v>
      </c>
      <c r="P31" s="6">
        <f t="shared" si="7"/>
        <v>0</v>
      </c>
      <c r="Q31" s="63"/>
    </row>
    <row r="32" spans="1:21" ht="15.75" x14ac:dyDescent="0.25">
      <c r="A32" s="12">
        <f t="shared" si="1"/>
        <v>9</v>
      </c>
      <c r="B32" s="13">
        <f t="shared" si="8"/>
        <v>45348</v>
      </c>
      <c r="C32" s="14" t="str" cm="1">
        <f t="array" ref="C32">_xlfn.SWITCH(WEEKDAY($D32, 2), 1, "mandag", 2, "tirsdag", 3, "onsdag", 4, "torsdag", 5, "fredag", 6, "lørdag", 7, "søndag")</f>
        <v>mandag</v>
      </c>
      <c r="D32">
        <f t="shared" si="0"/>
        <v>2</v>
      </c>
      <c r="E32" s="42">
        <f t="shared" si="2"/>
        <v>45348</v>
      </c>
      <c r="F32" s="15" t="s">
        <v>21</v>
      </c>
      <c r="G32" s="17" cm="1">
        <f t="array" ref="G32">IFERROR(IF(OR(AND(Masterdata!$B$4&lt;&gt;DATE(1900,1,0), Masterdata!$B$4&lt;$E32), AND(Masterdata!$B$3&lt;&gt;DATE(1900,1,0), Masterdata!$B$3&gt;$E32)), IF($H32&gt;TIME(0,0,0), "tast i næste felt", 0), IF($H32&gt;TIME(0,0,0), "Tast i næste felt", IF($H32&gt;0, 0, _xlfn.IFS($C32="lørdag", 0, $C32="søndag", 0, $F32="N", $V$8)))), "Tast i næste felt")</f>
        <v>0.30833333333333335</v>
      </c>
      <c r="H32" s="17">
        <v>0</v>
      </c>
      <c r="I32" s="16">
        <v>0</v>
      </c>
      <c r="J32" s="16">
        <v>0</v>
      </c>
      <c r="K32" s="50" t="str">
        <f>IF(OR(AND(Masterdata!$B$4&lt;&gt;DATE(1900,1,0),Masterdata!$B$4&lt;$E32),AND(Masterdata!$B$3&lt;&gt;DATE(1900,1,0),Masterdata!$B$3&gt;$E32)), "0:00", IF($H32&gt;TIME(0,0,0), IF($H32-$V$8&gt;=0, TEXT($H32-$V$8, "[t]:mm"), "-"&amp;TEXT(ABS($H32-$V$8), "[t]:mm")), IFERROR(IF($G32-$V$8=0, IF($G32-$V$8&gt;=0, TEXT($G32-$V$8, "[t]:mm"), "-"&amp;TEXT(ABS($G32-$V$8), "[t]:mm")), IF($J32-$I32&gt;=0, TEXT($J32-$I32, "[t]:mm"), "-"&amp;TEXT(ABS($J32-$I32), "[t]:mm"))), IF($J32-$I32-$V$8&gt;=0, TEXT($J32-$I32-$V$8, "[t]:mm"), "-"&amp;TEXT(ABS($J32-$I32-$V$8), "[t]:mm")))))</f>
        <v>0:00</v>
      </c>
      <c r="L32" s="54" t="str">
        <f t="shared" si="3"/>
        <v>0</v>
      </c>
      <c r="M32" s="58" t="str">
        <f t="shared" si="4"/>
        <v>0</v>
      </c>
      <c r="N32" s="51" t="str">
        <f t="shared" si="5"/>
        <v>00</v>
      </c>
      <c r="O32" s="57">
        <f t="shared" si="6"/>
        <v>0</v>
      </c>
      <c r="P32" s="6">
        <f t="shared" si="7"/>
        <v>0</v>
      </c>
      <c r="Q32" s="63"/>
    </row>
    <row r="33" spans="1:17" ht="15.75" x14ac:dyDescent="0.25">
      <c r="A33" s="12">
        <f t="shared" si="1"/>
        <v>9</v>
      </c>
      <c r="B33" s="13">
        <f t="shared" si="8"/>
        <v>45349</v>
      </c>
      <c r="C33" s="14" t="str" cm="1">
        <f t="array" ref="C33">_xlfn.SWITCH(WEEKDAY($D33, 2), 1, "mandag", 2, "tirsdag", 3, "onsdag", 4, "torsdag", 5, "fredag", 6, "lørdag", 7, "søndag")</f>
        <v>tirsdag</v>
      </c>
      <c r="D33">
        <f t="shared" si="0"/>
        <v>3</v>
      </c>
      <c r="E33" s="42">
        <f t="shared" si="2"/>
        <v>45349</v>
      </c>
      <c r="F33" s="15" t="s">
        <v>21</v>
      </c>
      <c r="G33" s="17" cm="1">
        <f t="array" ref="G33">IFERROR(IF(OR(AND(Masterdata!$B$4&lt;&gt;DATE(1900,1,0), Masterdata!$B$4&lt;$E33), AND(Masterdata!$B$3&lt;&gt;DATE(1900,1,0), Masterdata!$B$3&gt;$E33)), IF($H33&gt;TIME(0,0,0), "tast i næste felt", 0), IF($H33&gt;TIME(0,0,0), "Tast i næste felt", IF($H33&gt;0, 0, _xlfn.IFS($C33="lørdag", 0, $C33="søndag", 0, $F33="N", $V$8)))), "Tast i næste felt")</f>
        <v>0.30833333333333335</v>
      </c>
      <c r="H33" s="17">
        <v>0</v>
      </c>
      <c r="I33" s="16">
        <v>0</v>
      </c>
      <c r="J33" s="16">
        <v>0</v>
      </c>
      <c r="K33" s="50" t="str">
        <f>IF(OR(AND(Masterdata!$B$4&lt;&gt;DATE(1900,1,0),Masterdata!$B$4&lt;$E33),AND(Masterdata!$B$3&lt;&gt;DATE(1900,1,0),Masterdata!$B$3&gt;$E33)), "0:00", IF($H33&gt;TIME(0,0,0), IF($H33-$V$8&gt;=0, TEXT($H33-$V$8, "[t]:mm"), "-"&amp;TEXT(ABS($H33-$V$8), "[t]:mm")), IFERROR(IF($G33-$V$8=0, IF($G33-$V$8&gt;=0, TEXT($G33-$V$8, "[t]:mm"), "-"&amp;TEXT(ABS($G33-$V$8), "[t]:mm")), IF($J33-$I33&gt;=0, TEXT($J33-$I33, "[t]:mm"), "-"&amp;TEXT(ABS($J33-$I33), "[t]:mm"))), IF($J33-$I33-$V$8&gt;=0, TEXT($J33-$I33-$V$8, "[t]:mm"), "-"&amp;TEXT(ABS($J33-$I33-$V$8), "[t]:mm")))))</f>
        <v>0:00</v>
      </c>
      <c r="L33" s="54" t="str">
        <f t="shared" si="3"/>
        <v>0</v>
      </c>
      <c r="M33" s="58" t="str">
        <f t="shared" si="4"/>
        <v>0</v>
      </c>
      <c r="N33" s="51" t="str">
        <f t="shared" si="5"/>
        <v>00</v>
      </c>
      <c r="O33" s="57">
        <f t="shared" si="6"/>
        <v>0</v>
      </c>
      <c r="P33" s="6">
        <f t="shared" si="7"/>
        <v>0</v>
      </c>
      <c r="Q33" s="63"/>
    </row>
    <row r="34" spans="1:17" ht="15.75" x14ac:dyDescent="0.25">
      <c r="A34" s="12">
        <f t="shared" si="1"/>
        <v>9</v>
      </c>
      <c r="B34" s="13">
        <f t="shared" si="8"/>
        <v>45350</v>
      </c>
      <c r="C34" s="14" t="str" cm="1">
        <f t="array" ref="C34">_xlfn.SWITCH(WEEKDAY($D34, 2), 1, "mandag", 2, "tirsdag", 3, "onsdag", 4, "torsdag", 5, "fredag", 6, "lørdag", 7, "søndag")</f>
        <v>onsdag</v>
      </c>
      <c r="D34">
        <f t="shared" si="0"/>
        <v>4</v>
      </c>
      <c r="E34" s="42">
        <f t="shared" si="2"/>
        <v>45350</v>
      </c>
      <c r="F34" s="15" t="s">
        <v>21</v>
      </c>
      <c r="G34" s="17" cm="1">
        <f t="array" ref="G34">IFERROR(IF(OR(AND(Masterdata!$B$4&lt;&gt;DATE(1900,1,0), Masterdata!$B$4&lt;$E34), AND(Masterdata!$B$3&lt;&gt;DATE(1900,1,0), Masterdata!$B$3&gt;$E34)), IF($H34&gt;TIME(0,0,0), "tast i næste felt", 0), IF($H34&gt;TIME(0,0,0), "Tast i næste felt", IF($H34&gt;0, 0, _xlfn.IFS($C34="lørdag", 0, $C34="søndag", 0, $F34="N", $V$8)))), "Tast i næste felt")</f>
        <v>0.30833333333333335</v>
      </c>
      <c r="H34" s="17">
        <v>0</v>
      </c>
      <c r="I34" s="16">
        <v>0</v>
      </c>
      <c r="J34" s="16">
        <v>0</v>
      </c>
      <c r="K34" s="50" t="str">
        <f>IF(OR(AND(Masterdata!$B$4&lt;&gt;DATE(1900,1,0),Masterdata!$B$4&lt;$E34),AND(Masterdata!$B$3&lt;&gt;DATE(1900,1,0),Masterdata!$B$3&gt;$E34)), "0:00", IF($H34&gt;TIME(0,0,0), IF($H34-$V$8&gt;=0, TEXT($H34-$V$8, "[t]:mm"), "-"&amp;TEXT(ABS($H34-$V$8), "[t]:mm")), IFERROR(IF($G34-$V$8=0, IF($G34-$V$8&gt;=0, TEXT($G34-$V$8, "[t]:mm"), "-"&amp;TEXT(ABS($G34-$V$8), "[t]:mm")), IF($J34-$I34&gt;=0, TEXT($J34-$I34, "[t]:mm"), "-"&amp;TEXT(ABS($J34-$I34), "[t]:mm"))), IF($J34-$I34-$V$8&gt;=0, TEXT($J34-$I34-$V$8, "[t]:mm"), "-"&amp;TEXT(ABS($J34-$I34-$V$8), "[t]:mm")))))</f>
        <v>0:00</v>
      </c>
      <c r="L34" s="54" t="str">
        <f t="shared" si="3"/>
        <v>0</v>
      </c>
      <c r="M34" s="58" t="str">
        <f t="shared" si="4"/>
        <v>0</v>
      </c>
      <c r="N34" s="51" t="str">
        <f t="shared" si="5"/>
        <v>00</v>
      </c>
      <c r="O34" s="57">
        <f t="shared" si="6"/>
        <v>0</v>
      </c>
      <c r="P34" s="6">
        <f t="shared" si="7"/>
        <v>0</v>
      </c>
      <c r="Q34" s="63"/>
    </row>
    <row r="35" spans="1:17" ht="15.75" x14ac:dyDescent="0.25">
      <c r="A35" s="12">
        <f t="shared" si="1"/>
        <v>9</v>
      </c>
      <c r="B35" s="13">
        <f t="shared" si="8"/>
        <v>45351</v>
      </c>
      <c r="C35" s="14" t="str" cm="1">
        <f t="array" ref="C35">_xlfn.SWITCH(WEEKDAY($D35, 2), 1, "mandag", 2, "tirsdag", 3, "onsdag", 4, "torsdag", 5, "fredag", 6, "lørdag", 7, "søndag")</f>
        <v>torsdag</v>
      </c>
      <c r="D35">
        <f t="shared" si="0"/>
        <v>5</v>
      </c>
      <c r="E35" s="42">
        <f t="shared" si="2"/>
        <v>45351</v>
      </c>
      <c r="F35" s="15" t="s">
        <v>21</v>
      </c>
      <c r="G35" s="17" cm="1">
        <f t="array" ref="G35">IFERROR(IF(OR(AND(Masterdata!$B$4&lt;&gt;DATE(1900,1,0), Masterdata!$B$4&lt;$E35), AND(Masterdata!$B$3&lt;&gt;DATE(1900,1,0), Masterdata!$B$3&gt;$E35)), IF($H35&gt;TIME(0,0,0), "tast i næste felt", 0), IF($H35&gt;TIME(0,0,0), "Tast i næste felt", IF($H35&gt;0, 0, _xlfn.IFS($C35="lørdag", 0, $C35="søndag", 0, $F35="N", $V$8)))), "Tast i næste felt")</f>
        <v>0.30833333333333335</v>
      </c>
      <c r="H35" s="17">
        <v>0</v>
      </c>
      <c r="I35" s="16">
        <v>0</v>
      </c>
      <c r="J35" s="16">
        <v>0</v>
      </c>
      <c r="K35" s="50" t="str">
        <f>IF(OR(AND(Masterdata!$B$4&lt;&gt;DATE(1900,1,0),Masterdata!$B$4&lt;$E35),AND(Masterdata!$B$3&lt;&gt;DATE(1900,1,0),Masterdata!$B$3&gt;$E35)), "0:00", IF($H35&gt;TIME(0,0,0), IF($H35-$V$8&gt;=0, TEXT($H35-$V$8, "[t]:mm"), "-"&amp;TEXT(ABS($H35-$V$8), "[t]:mm")), IFERROR(IF($G35-$V$8=0, IF($G35-$V$8&gt;=0, TEXT($G35-$V$8, "[t]:mm"), "-"&amp;TEXT(ABS($G35-$V$8), "[t]:mm")), IF($J35-$I35&gt;=0, TEXT($J35-$I35, "[t]:mm"), "-"&amp;TEXT(ABS($J35-$I35), "[t]:mm"))), IF($J35-$I35-$V$8&gt;=0, TEXT($J35-$I35-$V$8, "[t]:mm"), "-"&amp;TEXT(ABS($J35-$I35-$V$8), "[t]:mm")))))</f>
        <v>0:00</v>
      </c>
      <c r="L35" s="54" t="str">
        <f t="shared" si="3"/>
        <v>0</v>
      </c>
      <c r="M35" s="58" t="str">
        <f t="shared" si="4"/>
        <v>0</v>
      </c>
      <c r="N35" s="51" t="str">
        <f t="shared" si="5"/>
        <v>00</v>
      </c>
      <c r="O35" s="57">
        <f t="shared" si="6"/>
        <v>0</v>
      </c>
      <c r="P35" s="6">
        <f t="shared" si="7"/>
        <v>0</v>
      </c>
      <c r="Q35" s="63"/>
    </row>
    <row r="36" spans="1:17" x14ac:dyDescent="0.25">
      <c r="K36" s="8"/>
      <c r="P36" s="6"/>
    </row>
  </sheetData>
  <conditionalFormatting sqref="A7:J35">
    <cfRule type="expression" dxfId="50" priority="2">
      <formula>OR($C7="lørdag", $C7="søndag")</formula>
    </cfRule>
  </conditionalFormatting>
  <conditionalFormatting sqref="G7:G35">
    <cfRule type="expression" dxfId="49" priority="4">
      <formula>AND($F7="N", NOT(OR($C7="lørdag", $C7="søndag")))</formula>
    </cfRule>
  </conditionalFormatting>
  <conditionalFormatting sqref="H7:J35">
    <cfRule type="expression" dxfId="48" priority="1">
      <formula>OR($F7="N")</formula>
    </cfRule>
    <cfRule type="expression" dxfId="47" priority="3">
      <formula>$F7="R"</formula>
    </cfRule>
  </conditionalFormatting>
  <dataValidations count="1">
    <dataValidation type="list" allowBlank="1" showInputMessage="1" showErrorMessage="1" sqref="F7:F35" xr:uid="{9AD677AF-C722-45FD-B20E-DBB3FC2F3AF9}">
      <formula1>$Q$2:$Q$3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273B-EC01-455E-BB6B-E0B3738DE057}">
  <dimension ref="A1:X38"/>
  <sheetViews>
    <sheetView zoomScale="70" zoomScaleNormal="70" workbookViewId="0">
      <selection activeCell="G7" sqref="G7"/>
    </sheetView>
  </sheetViews>
  <sheetFormatPr defaultRowHeight="15" outlineLevelCol="1" x14ac:dyDescent="0.25"/>
  <cols>
    <col min="1" max="1" width="11.28515625" customWidth="1"/>
    <col min="2" max="2" width="14.140625" customWidth="1"/>
    <col min="3" max="3" width="11.28515625" customWidth="1"/>
    <col min="4" max="4" width="15" hidden="1" customWidth="1"/>
    <col min="5" max="5" width="12.85546875" hidden="1" customWidth="1"/>
    <col min="6" max="6" width="11.28515625" customWidth="1"/>
    <col min="7" max="7" width="16.28515625" bestFit="1" customWidth="1"/>
    <col min="8" max="8" width="17.85546875" customWidth="1"/>
    <col min="9" max="11" width="11.28515625" customWidth="1"/>
    <col min="12" max="13" width="11.140625" hidden="1" customWidth="1" outlineLevel="1"/>
    <col min="14" max="14" width="90.7109375" hidden="1" customWidth="1" outlineLevel="1"/>
    <col min="15" max="15" width="27.28515625" hidden="1" customWidth="1" outlineLevel="1"/>
    <col min="16" max="16" width="12" hidden="1" customWidth="1" outlineLevel="1"/>
    <col min="17" max="17" width="14.14062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36" t="s">
        <v>18</v>
      </c>
      <c r="B1" s="37">
        <v>37</v>
      </c>
      <c r="Q1" s="45" t="s">
        <v>19</v>
      </c>
      <c r="R1" s="46" t="s">
        <v>20</v>
      </c>
    </row>
    <row r="2" spans="1:24" ht="31.5" x14ac:dyDescent="0.25">
      <c r="A2" s="34" t="s">
        <v>4</v>
      </c>
      <c r="B2" s="59">
        <f>SUM(P7:P37)</f>
        <v>0</v>
      </c>
      <c r="Q2" s="47" t="s">
        <v>21</v>
      </c>
      <c r="R2" s="49" t="s">
        <v>22</v>
      </c>
    </row>
    <row r="3" spans="1:24" ht="63" x14ac:dyDescent="0.25">
      <c r="A3" s="39" t="s">
        <v>0</v>
      </c>
      <c r="B3" s="40">
        <f>B7</f>
        <v>45352</v>
      </c>
      <c r="Q3" s="48" t="s">
        <v>23</v>
      </c>
      <c r="R3" s="61" t="s">
        <v>24</v>
      </c>
    </row>
    <row r="4" spans="1:24" ht="16.5" thickBot="1" x14ac:dyDescent="0.3">
      <c r="A4" s="35" t="s">
        <v>17</v>
      </c>
      <c r="B4" s="41">
        <f>B7</f>
        <v>45352</v>
      </c>
      <c r="Q4" s="44" t="s">
        <v>25</v>
      </c>
      <c r="R4" s="43" t="s">
        <v>26</v>
      </c>
    </row>
    <row r="5" spans="1:24" ht="15.75" thickBot="1" x14ac:dyDescent="0.3"/>
    <row r="6" spans="1:24" ht="21.75" customHeight="1" thickBot="1" x14ac:dyDescent="0.3">
      <c r="A6" s="9" t="s">
        <v>27</v>
      </c>
      <c r="B6" s="10" t="s">
        <v>28</v>
      </c>
      <c r="C6" s="10" t="s">
        <v>29</v>
      </c>
      <c r="D6" s="10" t="s">
        <v>30</v>
      </c>
      <c r="E6" s="10" t="s">
        <v>31</v>
      </c>
      <c r="F6" s="10" t="s">
        <v>19</v>
      </c>
      <c r="G6" s="10" t="s">
        <v>32</v>
      </c>
      <c r="H6" s="10" t="s">
        <v>33</v>
      </c>
      <c r="I6" s="11" t="s">
        <v>34</v>
      </c>
      <c r="J6" s="11" t="s">
        <v>35</v>
      </c>
      <c r="K6" s="10" t="s">
        <v>36</v>
      </c>
      <c r="L6" s="55" t="s">
        <v>37</v>
      </c>
      <c r="M6" s="56" t="s">
        <v>38</v>
      </c>
      <c r="N6" s="56" t="s">
        <v>39</v>
      </c>
      <c r="O6" s="56"/>
      <c r="Q6" s="10" t="s">
        <v>40</v>
      </c>
      <c r="U6" t="s">
        <v>41</v>
      </c>
      <c r="V6">
        <v>5</v>
      </c>
    </row>
    <row r="7" spans="1:24" ht="15.75" x14ac:dyDescent="0.25">
      <c r="A7" s="12">
        <f>WEEKNUM($B7,21)</f>
        <v>9</v>
      </c>
      <c r="B7" s="13">
        <f>DATE(Masterdata!$B$5,3,1)</f>
        <v>45352</v>
      </c>
      <c r="C7" s="14" t="str" cm="1">
        <f t="array" ref="C7">_xlfn.SWITCH(WEEKDAY($D7, 2), 1, "mandag", 2, "tirsdag", 3, "onsdag", 4, "torsdag", 5, "fredag", 6, "lørdag", 7, "søndag")</f>
        <v>fredag</v>
      </c>
      <c r="D7">
        <f t="shared" ref="D7:D37" si="0">WEEKDAY($B7, 2)+1</f>
        <v>6</v>
      </c>
      <c r="E7" s="42">
        <f>$B7</f>
        <v>45352</v>
      </c>
      <c r="F7" s="15" t="s">
        <v>21</v>
      </c>
      <c r="G7" s="17" cm="1">
        <f t="array" ref="G7">IFERROR(IF(OR(AND(Masterdata!$B$4&lt;&gt;DATE(1900,1,0), Masterdata!$B$4&lt;$E7), AND(Masterdata!$B$3&lt;&gt;DATE(1900,1,0), Masterdata!$B$3&gt;$E7)), IF($H7&gt;TIME(0,0,0), "tast i næste felt", 0), IF($H7&gt;TIME(0,0,0), "Tast i næste felt", IF($H7&gt;0, 0, _xlfn.IFS($C7="lørdag", 0, $C7="søndag", 0, $F7="N", $V$8)))), "Tast i næste felt")</f>
        <v>0.30833333333333335</v>
      </c>
      <c r="H7" s="17">
        <v>0</v>
      </c>
      <c r="I7" s="16">
        <v>0</v>
      </c>
      <c r="J7" s="16">
        <v>0</v>
      </c>
      <c r="K7" s="60" t="str">
        <f>IF(OR(AND(Masterdata!$B$4&lt;&gt;DATE(1900,1,0),Masterdata!$B$4&lt;$E7),AND(Masterdata!$B$3&lt;&gt;DATE(1900,1,0),Masterdata!$B$3&gt;$E7)), "0:00", IF($H7&gt;TIME(0,0,0), IF($H7-$V$8&gt;=0, TEXT($H7-$V$8, "[t]:mm"), "-"&amp;TEXT(ABS($H7-$V$8), "[t]:mm")), IFERROR(IF($G7-$V$8=0, IF($G7-$V$8&gt;=0, TEXT($G7-$V$8, "[t]:mm"), "-"&amp;TEXT(ABS($G7-$V$8), "[t]:mm")), IF($J7-$I7&gt;=0, TEXT($J7-$I7, "[t]:mm"), "-"&amp;TEXT(ABS($J7-$I7), "[t]:mm"))), IF($J7-$I7-$V$8&gt;=0, TEXT($J7-$I7-$V$8, "[t]:mm"), "-"&amp;TEXT(ABS($J7-$I7-$V$8), "[t]:mm")))))</f>
        <v>0:00</v>
      </c>
      <c r="L7" s="54" t="str">
        <f>LEFT(K7,1)</f>
        <v>0</v>
      </c>
      <c r="M7" s="58" t="str">
        <f>IF($L7="-",LEFT($K7,2),LEFT($K7,1))</f>
        <v>0</v>
      </c>
      <c r="N7" s="51" t="str">
        <f>IF($L7="-",MID($K7,4,2),MID($K7,3,2))</f>
        <v>00</v>
      </c>
      <c r="O7" s="57">
        <f>N7/60</f>
        <v>0</v>
      </c>
      <c r="P7" s="6">
        <f>IF(L7="-",M7-O7,M7+O7)</f>
        <v>0</v>
      </c>
      <c r="Q7" s="62"/>
      <c r="R7" s="53"/>
      <c r="U7" t="s">
        <v>42</v>
      </c>
      <c r="V7" s="3">
        <f>B1/V6</f>
        <v>7.4</v>
      </c>
      <c r="W7">
        <v>0</v>
      </c>
      <c r="X7" s="8"/>
    </row>
    <row r="8" spans="1:24" ht="15.75" x14ac:dyDescent="0.25">
      <c r="A8" s="12">
        <f t="shared" ref="A8:A37" si="1">WEEKNUM($B8,21)</f>
        <v>9</v>
      </c>
      <c r="B8" s="13">
        <f>B7+1</f>
        <v>45353</v>
      </c>
      <c r="C8" s="14" t="str" cm="1">
        <f t="array" ref="C8">_xlfn.SWITCH(WEEKDAY($D8, 2), 1, "mandag", 2, "tirsdag", 3, "onsdag", 4, "torsdag", 5, "fredag", 6, "lørdag", 7, "søndag")</f>
        <v>lørdag</v>
      </c>
      <c r="D8">
        <f t="shared" si="0"/>
        <v>7</v>
      </c>
      <c r="E8" s="42">
        <f t="shared" ref="E8:E37" si="2">$B8</f>
        <v>45353</v>
      </c>
      <c r="F8" s="15" t="s">
        <v>21</v>
      </c>
      <c r="G8" s="17" cm="1">
        <f t="array" ref="G8">IFERROR(IF(OR(AND(Masterdata!$B$4&lt;&gt;DATE(1900,1,0), Masterdata!$B$4&lt;$E8), AND(Masterdata!$B$3&lt;&gt;DATE(1900,1,0), Masterdata!$B$3&gt;$E8)), IF($H8&gt;TIME(0,0,0), "tast i næste felt", 0), IF($H8&gt;TIME(0,0,0), "Tast i næste felt", IF($H8&gt;0, 0, _xlfn.IFS($C8="lørdag", 0, $C8="søndag", 0, $F8="N", $V$8)))), "Tast i næste felt")</f>
        <v>0</v>
      </c>
      <c r="H8" s="17">
        <v>0</v>
      </c>
      <c r="I8" s="16">
        <v>0</v>
      </c>
      <c r="J8" s="16">
        <v>0</v>
      </c>
      <c r="K8" s="50" t="str">
        <f>IF(OR(AND(Masterdata!$B$4&lt;&gt;DATE(1900,1,0),Masterdata!$B$4&lt;$E8),AND(Masterdata!$B$3&lt;&gt;DATE(1900,1,0),Masterdata!$B$3&gt;$E8)), "0:00", IF($H8&gt;TIME(0,0,0), IF($H8-$V$8&gt;=0, TEXT($H8-$V$8, "[t]:mm"), "-"&amp;TEXT(ABS($H8-$V$8), "[t]:mm")), IFERROR(IF($G8-$V$8=0, IF($G8-$V$8&gt;=0, TEXT($G8-$V$8, "[t]:mm"), "-"&amp;TEXT(ABS($G8-$V$8), "[t]:mm")), IF($J8-$I8&gt;=0, TEXT($J8-$I8, "[t]:mm"), "-"&amp;TEXT(ABS($J8-$I8), "[t]:mm"))), IF($J8-$I8-$V$8&gt;=0, TEXT($J8-$I8-$V$8, "[t]:mm"), "-"&amp;TEXT(ABS($J8-$I8-$V$8), "[t]:mm")))))</f>
        <v>0:00</v>
      </c>
      <c r="L8" s="54" t="str">
        <f t="shared" ref="L8:L37" si="3">LEFT(K8,1)</f>
        <v>0</v>
      </c>
      <c r="M8" s="58" t="str">
        <f t="shared" ref="M8:M37" si="4">IF($L8="-",LEFT($K8,2),LEFT($K8,1))</f>
        <v>0</v>
      </c>
      <c r="N8" s="51" t="str">
        <f t="shared" ref="N8:N37" si="5">IF($L8="-",MID($K8,4,2),MID($K8,3,2))</f>
        <v>00</v>
      </c>
      <c r="O8" s="57">
        <f t="shared" ref="O8:O37" si="6">N8/60</f>
        <v>0</v>
      </c>
      <c r="P8" s="6">
        <f t="shared" ref="P8:P37" si="7">IF(L8="-",M8-O8,M8+O8)</f>
        <v>0</v>
      </c>
      <c r="Q8" s="63"/>
      <c r="U8" t="s">
        <v>43</v>
      </c>
      <c r="V8" s="8">
        <f>V7/24</f>
        <v>0.30833333333333335</v>
      </c>
    </row>
    <row r="9" spans="1:24" ht="15.75" x14ac:dyDescent="0.25">
      <c r="A9" s="12">
        <f t="shared" si="1"/>
        <v>9</v>
      </c>
      <c r="B9" s="13">
        <f t="shared" ref="B9:B37" si="8">B8+1</f>
        <v>45354</v>
      </c>
      <c r="C9" s="14" t="str" cm="1">
        <f t="array" ref="C9">_xlfn.SWITCH(WEEKDAY($D9, 2), 1, "mandag", 2, "tirsdag", 3, "onsdag", 4, "torsdag", 5, "fredag", 6, "lørdag", 7, "søndag")</f>
        <v>søndag</v>
      </c>
      <c r="D9">
        <f t="shared" si="0"/>
        <v>8</v>
      </c>
      <c r="E9" s="42">
        <f t="shared" si="2"/>
        <v>45354</v>
      </c>
      <c r="F9" s="15" t="s">
        <v>21</v>
      </c>
      <c r="G9" s="17" cm="1">
        <f t="array" ref="G9">IFERROR(IF(OR(AND(Masterdata!$B$4&lt;&gt;DATE(1900,1,0), Masterdata!$B$4&lt;$E9), AND(Masterdata!$B$3&lt;&gt;DATE(1900,1,0), Masterdata!$B$3&gt;$E9)), IF($H9&gt;TIME(0,0,0), "tast i næste felt", 0), IF($H9&gt;TIME(0,0,0), "Tast i næste felt", IF($H9&gt;0, 0, _xlfn.IFS($C9="lørdag", 0, $C9="søndag", 0, $F9="N", $V$8)))), "Tast i næste felt")</f>
        <v>0</v>
      </c>
      <c r="H9" s="17">
        <v>0</v>
      </c>
      <c r="I9" s="16">
        <v>0</v>
      </c>
      <c r="J9" s="16">
        <v>0</v>
      </c>
      <c r="K9" s="50" t="str">
        <f>IF(OR(AND(Masterdata!$B$4&lt;&gt;DATE(1900,1,0),Masterdata!$B$4&lt;$E9),AND(Masterdata!$B$3&lt;&gt;DATE(1900,1,0),Masterdata!$B$3&gt;$E9)), "0:00", IF($H9&gt;TIME(0,0,0), IF($H9-$V$8&gt;=0, TEXT($H9-$V$8, "[t]:mm"), "-"&amp;TEXT(ABS($H9-$V$8), "[t]:mm")), IFERROR(IF($G9-$V$8=0, IF($G9-$V$8&gt;=0, TEXT($G9-$V$8, "[t]:mm"), "-"&amp;TEXT(ABS($G9-$V$8), "[t]:mm")), IF($J9-$I9&gt;=0, TEXT($J9-$I9, "[t]:mm"), "-"&amp;TEXT(ABS($J9-$I9), "[t]:mm"))), IF($J9-$I9-$V$8&gt;=0, TEXT($J9-$I9-$V$8, "[t]:mm"), "-"&amp;TEXT(ABS($J9-$I9-$V$8), "[t]:mm")))))</f>
        <v>0:00</v>
      </c>
      <c r="L9" s="54" t="str">
        <f t="shared" si="3"/>
        <v>0</v>
      </c>
      <c r="M9" s="58" t="str">
        <f t="shared" si="4"/>
        <v>0</v>
      </c>
      <c r="N9" s="51" t="str">
        <f t="shared" si="5"/>
        <v>00</v>
      </c>
      <c r="O9" s="57">
        <f t="shared" si="6"/>
        <v>0</v>
      </c>
      <c r="P9" s="6">
        <f t="shared" si="7"/>
        <v>0</v>
      </c>
      <c r="Q9" s="63"/>
      <c r="S9" t="s">
        <v>21</v>
      </c>
      <c r="T9" t="s">
        <v>44</v>
      </c>
      <c r="U9" t="s">
        <v>45</v>
      </c>
      <c r="V9" s="6">
        <f>(B1/37)*160.33</f>
        <v>160.33000000000001</v>
      </c>
    </row>
    <row r="10" spans="1:24" ht="15.75" x14ac:dyDescent="0.25">
      <c r="A10" s="12">
        <f t="shared" si="1"/>
        <v>10</v>
      </c>
      <c r="B10" s="13">
        <f t="shared" si="8"/>
        <v>45355</v>
      </c>
      <c r="C10" s="14" t="str" cm="1">
        <f t="array" ref="C10">_xlfn.SWITCH(WEEKDAY($D10, 2), 1, "mandag", 2, "tirsdag", 3, "onsdag", 4, "torsdag", 5, "fredag", 6, "lørdag", 7, "søndag")</f>
        <v>mandag</v>
      </c>
      <c r="D10">
        <f t="shared" si="0"/>
        <v>2</v>
      </c>
      <c r="E10" s="42">
        <f t="shared" si="2"/>
        <v>45355</v>
      </c>
      <c r="F10" s="15" t="s">
        <v>21</v>
      </c>
      <c r="G10" s="17" cm="1">
        <f t="array" ref="G10">IFERROR(IF(OR(AND(Masterdata!$B$4&lt;&gt;DATE(1900,1,0), Masterdata!$B$4&lt;$E10), AND(Masterdata!$B$3&lt;&gt;DATE(1900,1,0), Masterdata!$B$3&gt;$E10)), IF($H10&gt;TIME(0,0,0), "tast i næste felt", 0), IF($H10&gt;TIME(0,0,0), "Tast i næste felt", IF($H10&gt;0, 0, _xlfn.IFS($C10="lørdag", 0, $C10="søndag", 0, $F10="N", $V$8)))), "Tast i næste felt")</f>
        <v>0.30833333333333335</v>
      </c>
      <c r="H10" s="17">
        <v>0</v>
      </c>
      <c r="I10" s="16">
        <v>0</v>
      </c>
      <c r="J10" s="16">
        <v>0</v>
      </c>
      <c r="K10" s="50" t="str">
        <f>IF(OR(AND(Masterdata!$B$4&lt;&gt;DATE(1900,1,0),Masterdata!$B$4&lt;$E10),AND(Masterdata!$B$3&lt;&gt;DATE(1900,1,0),Masterdata!$B$3&gt;$E10)), "0:00", IF($H10&gt;TIME(0,0,0), IF($H10-$V$8&gt;=0, TEXT($H10-$V$8, "[t]:mm"), "-"&amp;TEXT(ABS($H10-$V$8), "[t]:mm")), IFERROR(IF($G10-$V$8=0, IF($G10-$V$8&gt;=0, TEXT($G10-$V$8, "[t]:mm"), "-"&amp;TEXT(ABS($G10-$V$8), "[t]:mm")), IF($J10-$I10&gt;=0, TEXT($J10-$I10, "[t]:mm"), "-"&amp;TEXT(ABS($J10-$I10), "[t]:mm"))), IF($J10-$I10-$V$8&gt;=0, TEXT($J10-$I10-$V$8, "[t]:mm"), "-"&amp;TEXT(ABS($J10-$I10-$V$8), "[t]:mm")))))</f>
        <v>0:00</v>
      </c>
      <c r="L10" s="54" t="str">
        <f t="shared" si="3"/>
        <v>0</v>
      </c>
      <c r="M10" s="58" t="str">
        <f t="shared" si="4"/>
        <v>0</v>
      </c>
      <c r="N10" s="51" t="str">
        <f t="shared" si="5"/>
        <v>00</v>
      </c>
      <c r="O10" s="57">
        <f t="shared" si="6"/>
        <v>0</v>
      </c>
      <c r="P10" s="6">
        <f t="shared" si="7"/>
        <v>0</v>
      </c>
      <c r="Q10" s="63"/>
    </row>
    <row r="11" spans="1:24" ht="15.75" x14ac:dyDescent="0.25">
      <c r="A11" s="12">
        <f t="shared" si="1"/>
        <v>10</v>
      </c>
      <c r="B11" s="13">
        <f t="shared" si="8"/>
        <v>45356</v>
      </c>
      <c r="C11" s="14" t="str" cm="1">
        <f t="array" ref="C11">_xlfn.SWITCH(WEEKDAY($D11, 2), 1, "mandag", 2, "tirsdag", 3, "onsdag", 4, "torsdag", 5, "fredag", 6, "lørdag", 7, "søndag")</f>
        <v>tirsdag</v>
      </c>
      <c r="D11">
        <f t="shared" si="0"/>
        <v>3</v>
      </c>
      <c r="E11" s="42">
        <f t="shared" si="2"/>
        <v>45356</v>
      </c>
      <c r="F11" s="15" t="s">
        <v>21</v>
      </c>
      <c r="G11" s="17" cm="1">
        <f t="array" ref="G11">IFERROR(IF(OR(AND(Masterdata!$B$4&lt;&gt;DATE(1900,1,0), Masterdata!$B$4&lt;$E11), AND(Masterdata!$B$3&lt;&gt;DATE(1900,1,0), Masterdata!$B$3&gt;$E11)), IF($H11&gt;TIME(0,0,0), "tast i næste felt", 0), IF($H11&gt;TIME(0,0,0), "Tast i næste felt", IF($H11&gt;0, 0, _xlfn.IFS($C11="lørdag", 0, $C11="søndag", 0, $F11="N", $V$8)))), "Tast i næste felt")</f>
        <v>0.30833333333333335</v>
      </c>
      <c r="H11" s="17">
        <v>0</v>
      </c>
      <c r="I11" s="16">
        <v>0</v>
      </c>
      <c r="J11" s="16">
        <v>0</v>
      </c>
      <c r="K11" s="50" t="str">
        <f>IF(OR(AND(Masterdata!$B$4&lt;&gt;DATE(1900,1,0),Masterdata!$B$4&lt;$E11),AND(Masterdata!$B$3&lt;&gt;DATE(1900,1,0),Masterdata!$B$3&gt;$E11)), "0:00", IF($H11&gt;TIME(0,0,0), IF($H11-$V$8&gt;=0, TEXT($H11-$V$8, "[t]:mm"), "-"&amp;TEXT(ABS($H11-$V$8), "[t]:mm")), IFERROR(IF($G11-$V$8=0, IF($G11-$V$8&gt;=0, TEXT($G11-$V$8, "[t]:mm"), "-"&amp;TEXT(ABS($G11-$V$8), "[t]:mm")), IF($J11-$I11&gt;=0, TEXT($J11-$I11, "[t]:mm"), "-"&amp;TEXT(ABS($J11-$I11), "[t]:mm"))), IF($J11-$I11-$V$8&gt;=0, TEXT($J11-$I11-$V$8, "[t]:mm"), "-"&amp;TEXT(ABS($J11-$I11-$V$8), "[t]:mm")))))</f>
        <v>0:00</v>
      </c>
      <c r="L11" s="54" t="str">
        <f t="shared" si="3"/>
        <v>0</v>
      </c>
      <c r="M11" s="58" t="str">
        <f t="shared" si="4"/>
        <v>0</v>
      </c>
      <c r="N11" s="51" t="str">
        <f t="shared" si="5"/>
        <v>00</v>
      </c>
      <c r="O11" s="57">
        <f t="shared" si="6"/>
        <v>0</v>
      </c>
      <c r="P11" s="6">
        <f t="shared" si="7"/>
        <v>0</v>
      </c>
      <c r="Q11" s="63"/>
      <c r="V11" s="6"/>
    </row>
    <row r="12" spans="1:24" ht="15.75" x14ac:dyDescent="0.25">
      <c r="A12" s="12">
        <f t="shared" si="1"/>
        <v>10</v>
      </c>
      <c r="B12" s="13">
        <f t="shared" si="8"/>
        <v>45357</v>
      </c>
      <c r="C12" s="14" t="str" cm="1">
        <f t="array" ref="C12">_xlfn.SWITCH(WEEKDAY($D12, 2), 1, "mandag", 2, "tirsdag", 3, "onsdag", 4, "torsdag", 5, "fredag", 6, "lørdag", 7, "søndag")</f>
        <v>onsdag</v>
      </c>
      <c r="D12">
        <f t="shared" si="0"/>
        <v>4</v>
      </c>
      <c r="E12" s="42">
        <f t="shared" si="2"/>
        <v>45357</v>
      </c>
      <c r="F12" s="15" t="s">
        <v>21</v>
      </c>
      <c r="G12" s="17" cm="1">
        <f t="array" ref="G12">IFERROR(IF(OR(AND(Masterdata!$B$4&lt;&gt;DATE(1900,1,0), Masterdata!$B$4&lt;$E12), AND(Masterdata!$B$3&lt;&gt;DATE(1900,1,0), Masterdata!$B$3&gt;$E12)), IF($H12&gt;TIME(0,0,0), "tast i næste felt", 0), IF($H12&gt;TIME(0,0,0), "Tast i næste felt", IF($H12&gt;0, 0, _xlfn.IFS($C12="lørdag", 0, $C12="søndag", 0, $F12="N", $V$8)))), "Tast i næste felt")</f>
        <v>0.30833333333333335</v>
      </c>
      <c r="H12" s="17">
        <v>0</v>
      </c>
      <c r="I12" s="16">
        <v>0</v>
      </c>
      <c r="J12" s="16">
        <v>0</v>
      </c>
      <c r="K12" s="50" t="str">
        <f>IF(OR(AND(Masterdata!$B$4&lt;&gt;DATE(1900,1,0),Masterdata!$B$4&lt;$E12),AND(Masterdata!$B$3&lt;&gt;DATE(1900,1,0),Masterdata!$B$3&gt;$E12)), "0:00", IF($H12&gt;TIME(0,0,0), IF($H12-$V$8&gt;=0, TEXT($H12-$V$8, "[t]:mm"), "-"&amp;TEXT(ABS($H12-$V$8), "[t]:mm")), IFERROR(IF($G12-$V$8=0, IF($G12-$V$8&gt;=0, TEXT($G12-$V$8, "[t]:mm"), "-"&amp;TEXT(ABS($G12-$V$8), "[t]:mm")), IF($J12-$I12&gt;=0, TEXT($J12-$I12, "[t]:mm"), "-"&amp;TEXT(ABS($J12-$I12), "[t]:mm"))), IF($J12-$I12-$V$8&gt;=0, TEXT($J12-$I12-$V$8, "[t]:mm"), "-"&amp;TEXT(ABS($J12-$I12-$V$8), "[t]:mm")))))</f>
        <v>0:00</v>
      </c>
      <c r="L12" s="54" t="str">
        <f t="shared" si="3"/>
        <v>0</v>
      </c>
      <c r="M12" s="58" t="str">
        <f t="shared" si="4"/>
        <v>0</v>
      </c>
      <c r="N12" s="51" t="str">
        <f t="shared" si="5"/>
        <v>00</v>
      </c>
      <c r="O12" s="57">
        <f t="shared" si="6"/>
        <v>0</v>
      </c>
      <c r="P12" s="6">
        <f t="shared" si="7"/>
        <v>0</v>
      </c>
      <c r="Q12" s="63"/>
      <c r="V12" s="38"/>
    </row>
    <row r="13" spans="1:24" ht="15.75" x14ac:dyDescent="0.25">
      <c r="A13" s="12">
        <f t="shared" si="1"/>
        <v>10</v>
      </c>
      <c r="B13" s="13">
        <f t="shared" si="8"/>
        <v>45358</v>
      </c>
      <c r="C13" s="14" t="str" cm="1">
        <f t="array" ref="C13">_xlfn.SWITCH(WEEKDAY($D13, 2), 1, "mandag", 2, "tirsdag", 3, "onsdag", 4, "torsdag", 5, "fredag", 6, "lørdag", 7, "søndag")</f>
        <v>torsdag</v>
      </c>
      <c r="D13">
        <f t="shared" si="0"/>
        <v>5</v>
      </c>
      <c r="E13" s="42">
        <f t="shared" si="2"/>
        <v>45358</v>
      </c>
      <c r="F13" s="15" t="s">
        <v>21</v>
      </c>
      <c r="G13" s="17" cm="1">
        <f t="array" ref="G13">IFERROR(IF(OR(AND(Masterdata!$B$4&lt;&gt;DATE(1900,1,0), Masterdata!$B$4&lt;$E13), AND(Masterdata!$B$3&lt;&gt;DATE(1900,1,0), Masterdata!$B$3&gt;$E13)), IF($H13&gt;TIME(0,0,0), "tast i næste felt", 0), IF($H13&gt;TIME(0,0,0), "Tast i næste felt", IF($H13&gt;0, 0, _xlfn.IFS($C13="lørdag", 0, $C13="søndag", 0, $F13="N", $V$8)))), "Tast i næste felt")</f>
        <v>0.30833333333333335</v>
      </c>
      <c r="H13" s="17">
        <v>0</v>
      </c>
      <c r="I13" s="16">
        <v>0</v>
      </c>
      <c r="J13" s="16">
        <v>0</v>
      </c>
      <c r="K13" s="50" t="str">
        <f>IF(OR(AND(Masterdata!$B$4&lt;&gt;DATE(1900,1,0),Masterdata!$B$4&lt;$E13),AND(Masterdata!$B$3&lt;&gt;DATE(1900,1,0),Masterdata!$B$3&gt;$E13)), "0:00", IF($H13&gt;TIME(0,0,0), IF($H13-$V$8&gt;=0, TEXT($H13-$V$8, "[t]:mm"), "-"&amp;TEXT(ABS($H13-$V$8), "[t]:mm")), IFERROR(IF($G13-$V$8=0, IF($G13-$V$8&gt;=0, TEXT($G13-$V$8, "[t]:mm"), "-"&amp;TEXT(ABS($G13-$V$8), "[t]:mm")), IF($J13-$I13&gt;=0, TEXT($J13-$I13, "[t]:mm"), "-"&amp;TEXT(ABS($J13-$I13), "[t]:mm"))), IF($J13-$I13-$V$8&gt;=0, TEXT($J13-$I13-$V$8, "[t]:mm"), "-"&amp;TEXT(ABS($J13-$I13-$V$8), "[t]:mm")))))</f>
        <v>0:00</v>
      </c>
      <c r="L13" s="54" t="str">
        <f t="shared" si="3"/>
        <v>0</v>
      </c>
      <c r="M13" s="58" t="str">
        <f t="shared" si="4"/>
        <v>0</v>
      </c>
      <c r="N13" s="51" t="str">
        <f t="shared" si="5"/>
        <v>00</v>
      </c>
      <c r="O13" s="57">
        <f t="shared" si="6"/>
        <v>0</v>
      </c>
      <c r="P13" s="6">
        <f t="shared" si="7"/>
        <v>0</v>
      </c>
      <c r="Q13" s="63"/>
    </row>
    <row r="14" spans="1:24" ht="15.75" x14ac:dyDescent="0.25">
      <c r="A14" s="12">
        <f t="shared" si="1"/>
        <v>10</v>
      </c>
      <c r="B14" s="13">
        <f t="shared" si="8"/>
        <v>45359</v>
      </c>
      <c r="C14" s="14" t="str" cm="1">
        <f t="array" ref="C14">_xlfn.SWITCH(WEEKDAY($D14, 2), 1, "mandag", 2, "tirsdag", 3, "onsdag", 4, "torsdag", 5, "fredag", 6, "lørdag", 7, "søndag")</f>
        <v>fredag</v>
      </c>
      <c r="D14">
        <f t="shared" si="0"/>
        <v>6</v>
      </c>
      <c r="E14" s="42">
        <f t="shared" si="2"/>
        <v>45359</v>
      </c>
      <c r="F14" s="15" t="s">
        <v>21</v>
      </c>
      <c r="G14" s="17" cm="1">
        <f t="array" ref="G14">IFERROR(IF(OR(AND(Masterdata!$B$4&lt;&gt;DATE(1900,1,0), Masterdata!$B$4&lt;$E14), AND(Masterdata!$B$3&lt;&gt;DATE(1900,1,0), Masterdata!$B$3&gt;$E14)), IF($H14&gt;TIME(0,0,0), "tast i næste felt", 0), IF($H14&gt;TIME(0,0,0), "Tast i næste felt", IF($H14&gt;0, 0, _xlfn.IFS($C14="lørdag", 0, $C14="søndag", 0, $F14="N", $V$8)))), "Tast i næste felt")</f>
        <v>0.30833333333333335</v>
      </c>
      <c r="H14" s="17">
        <v>0</v>
      </c>
      <c r="I14" s="16">
        <v>0</v>
      </c>
      <c r="J14" s="16">
        <v>0</v>
      </c>
      <c r="K14" s="50" t="str">
        <f>IF(OR(AND(Masterdata!$B$4&lt;&gt;DATE(1900,1,0),Masterdata!$B$4&lt;$E14),AND(Masterdata!$B$3&lt;&gt;DATE(1900,1,0),Masterdata!$B$3&gt;$E14)), "0:00", IF($H14&gt;TIME(0,0,0), IF($H14-$V$8&gt;=0, TEXT($H14-$V$8, "[t]:mm"), "-"&amp;TEXT(ABS($H14-$V$8), "[t]:mm")), IFERROR(IF($G14-$V$8=0, IF($G14-$V$8&gt;=0, TEXT($G14-$V$8, "[t]:mm"), "-"&amp;TEXT(ABS($G14-$V$8), "[t]:mm")), IF($J14-$I14&gt;=0, TEXT($J14-$I14, "[t]:mm"), "-"&amp;TEXT(ABS($J14-$I14), "[t]:mm"))), IF($J14-$I14-$V$8&gt;=0, TEXT($J14-$I14-$V$8, "[t]:mm"), "-"&amp;TEXT(ABS($J14-$I14-$V$8), "[t]:mm")))))</f>
        <v>0:00</v>
      </c>
      <c r="L14" s="54" t="str">
        <f t="shared" si="3"/>
        <v>0</v>
      </c>
      <c r="M14" s="58" t="str">
        <f t="shared" si="4"/>
        <v>0</v>
      </c>
      <c r="N14" s="51" t="str">
        <f t="shared" si="5"/>
        <v>00</v>
      </c>
      <c r="O14" s="57">
        <f t="shared" si="6"/>
        <v>0</v>
      </c>
      <c r="P14" s="6">
        <f t="shared" si="7"/>
        <v>0</v>
      </c>
      <c r="Q14" s="63"/>
      <c r="S14" t="s">
        <v>46</v>
      </c>
      <c r="T14" t="s">
        <v>47</v>
      </c>
      <c r="U14" t="s">
        <v>48</v>
      </c>
      <c r="V14" s="6">
        <f>V9-V12</f>
        <v>160.33000000000001</v>
      </c>
    </row>
    <row r="15" spans="1:24" ht="15.75" x14ac:dyDescent="0.25">
      <c r="A15" s="12">
        <f t="shared" si="1"/>
        <v>10</v>
      </c>
      <c r="B15" s="13">
        <f t="shared" si="8"/>
        <v>45360</v>
      </c>
      <c r="C15" s="14" t="str" cm="1">
        <f t="array" ref="C15">_xlfn.SWITCH(WEEKDAY($D15, 2), 1, "mandag", 2, "tirsdag", 3, "onsdag", 4, "torsdag", 5, "fredag", 6, "lørdag", 7, "søndag")</f>
        <v>lørdag</v>
      </c>
      <c r="D15">
        <f t="shared" si="0"/>
        <v>7</v>
      </c>
      <c r="E15" s="42">
        <f t="shared" si="2"/>
        <v>45360</v>
      </c>
      <c r="F15" s="15" t="s">
        <v>21</v>
      </c>
      <c r="G15" s="17" cm="1">
        <f t="array" ref="G15">IFERROR(IF(OR(AND(Masterdata!$B$4&lt;&gt;DATE(1900,1,0), Masterdata!$B$4&lt;$E15), AND(Masterdata!$B$3&lt;&gt;DATE(1900,1,0), Masterdata!$B$3&gt;$E15)), IF($H15&gt;TIME(0,0,0), "tast i næste felt", 0), IF($H15&gt;TIME(0,0,0), "Tast i næste felt", IF($H15&gt;0, 0, _xlfn.IFS($C15="lørdag", 0, $C15="søndag", 0, $F15="N", $V$8)))), "Tast i næste felt")</f>
        <v>0</v>
      </c>
      <c r="H15" s="17">
        <v>0</v>
      </c>
      <c r="I15" s="16">
        <v>0</v>
      </c>
      <c r="J15" s="16">
        <v>0</v>
      </c>
      <c r="K15" s="50" t="str">
        <f>IF(OR(AND(Masterdata!$B$4&lt;&gt;DATE(1900,1,0),Masterdata!$B$4&lt;$E15),AND(Masterdata!$B$3&lt;&gt;DATE(1900,1,0),Masterdata!$B$3&gt;$E15)), "0:00", IF($H15&gt;TIME(0,0,0), IF($H15-$V$8&gt;=0, TEXT($H15-$V$8, "[t]:mm"), "-"&amp;TEXT(ABS($H15-$V$8), "[t]:mm")), IFERROR(IF($G15-$V$8=0, IF($G15-$V$8&gt;=0, TEXT($G15-$V$8, "[t]:mm"), "-"&amp;TEXT(ABS($G15-$V$8), "[t]:mm")), IF($J15-$I15&gt;=0, TEXT($J15-$I15, "[t]:mm"), "-"&amp;TEXT(ABS($J15-$I15), "[t]:mm"))), IF($J15-$I15-$V$8&gt;=0, TEXT($J15-$I15-$V$8, "[t]:mm"), "-"&amp;TEXT(ABS($J15-$I15-$V$8), "[t]:mm")))))</f>
        <v>0:00</v>
      </c>
      <c r="L15" s="54" t="str">
        <f t="shared" si="3"/>
        <v>0</v>
      </c>
      <c r="M15" s="58" t="str">
        <f t="shared" si="4"/>
        <v>0</v>
      </c>
      <c r="N15" s="51" t="str">
        <f t="shared" si="5"/>
        <v>00</v>
      </c>
      <c r="O15" s="57">
        <f t="shared" si="6"/>
        <v>0</v>
      </c>
      <c r="P15" s="6">
        <f t="shared" si="7"/>
        <v>0</v>
      </c>
      <c r="Q15" s="63"/>
      <c r="S15" t="s">
        <v>49</v>
      </c>
      <c r="T15" t="s">
        <v>50</v>
      </c>
      <c r="U15" t="s">
        <v>51</v>
      </c>
      <c r="V15" s="6" t="e">
        <f>SUM(#REF!)</f>
        <v>#REF!</v>
      </c>
    </row>
    <row r="16" spans="1:24" ht="15.75" x14ac:dyDescent="0.25">
      <c r="A16" s="12">
        <f t="shared" si="1"/>
        <v>10</v>
      </c>
      <c r="B16" s="13">
        <f t="shared" si="8"/>
        <v>45361</v>
      </c>
      <c r="C16" s="14" t="str" cm="1">
        <f t="array" ref="C16">_xlfn.SWITCH(WEEKDAY($D16, 2), 1, "mandag", 2, "tirsdag", 3, "onsdag", 4, "torsdag", 5, "fredag", 6, "lørdag", 7, "søndag")</f>
        <v>søndag</v>
      </c>
      <c r="D16">
        <f t="shared" si="0"/>
        <v>8</v>
      </c>
      <c r="E16" s="42">
        <f t="shared" si="2"/>
        <v>45361</v>
      </c>
      <c r="F16" s="15" t="s">
        <v>21</v>
      </c>
      <c r="G16" s="17" cm="1">
        <f t="array" ref="G16">IFERROR(IF(OR(AND(Masterdata!$B$4&lt;&gt;DATE(1900,1,0), Masterdata!$B$4&lt;$E16), AND(Masterdata!$B$3&lt;&gt;DATE(1900,1,0), Masterdata!$B$3&gt;$E16)), IF($H16&gt;TIME(0,0,0), "tast i næste felt", 0), IF($H16&gt;TIME(0,0,0), "Tast i næste felt", IF($H16&gt;0, 0, _xlfn.IFS($C16="lørdag", 0, $C16="søndag", 0, $F16="N", $V$8)))), "Tast i næste felt")</f>
        <v>0</v>
      </c>
      <c r="H16" s="17">
        <v>0</v>
      </c>
      <c r="I16" s="16">
        <v>0</v>
      </c>
      <c r="J16" s="16">
        <v>0</v>
      </c>
      <c r="K16" s="50" t="str">
        <f>IF(OR(AND(Masterdata!$B$4&lt;&gt;DATE(1900,1,0),Masterdata!$B$4&lt;$E16),AND(Masterdata!$B$3&lt;&gt;DATE(1900,1,0),Masterdata!$B$3&gt;$E16)), "0:00", IF($H16&gt;TIME(0,0,0), IF($H16-$V$8&gt;=0, TEXT($H16-$V$8, "[t]:mm"), "-"&amp;TEXT(ABS($H16-$V$8), "[t]:mm")), IFERROR(IF($G16-$V$8=0, IF($G16-$V$8&gt;=0, TEXT($G16-$V$8, "[t]:mm"), "-"&amp;TEXT(ABS($G16-$V$8), "[t]:mm")), IF($J16-$I16&gt;=0, TEXT($J16-$I16, "[t]:mm"), "-"&amp;TEXT(ABS($J16-$I16), "[t]:mm"))), IF($J16-$I16-$V$8&gt;=0, TEXT($J16-$I16-$V$8, "[t]:mm"), "-"&amp;TEXT(ABS($J16-$I16-$V$8), "[t]:mm")))))</f>
        <v>0:00</v>
      </c>
      <c r="L16" s="54" t="str">
        <f t="shared" si="3"/>
        <v>0</v>
      </c>
      <c r="M16" s="58" t="str">
        <f t="shared" si="4"/>
        <v>0</v>
      </c>
      <c r="N16" s="51" t="str">
        <f t="shared" si="5"/>
        <v>00</v>
      </c>
      <c r="O16" s="57">
        <f t="shared" si="6"/>
        <v>0</v>
      </c>
      <c r="P16" s="6">
        <f t="shared" si="7"/>
        <v>0</v>
      </c>
      <c r="Q16" s="63"/>
      <c r="S16" t="s">
        <v>23</v>
      </c>
      <c r="T16" t="s">
        <v>52</v>
      </c>
      <c r="U16" t="s">
        <v>53</v>
      </c>
      <c r="V16" s="6" t="e">
        <f>V14-V15</f>
        <v>#REF!</v>
      </c>
    </row>
    <row r="17" spans="1:21" ht="15.75" x14ac:dyDescent="0.25">
      <c r="A17" s="12">
        <f t="shared" si="1"/>
        <v>11</v>
      </c>
      <c r="B17" s="13">
        <f t="shared" si="8"/>
        <v>45362</v>
      </c>
      <c r="C17" s="14" t="str" cm="1">
        <f t="array" ref="C17">_xlfn.SWITCH(WEEKDAY($D17, 2), 1, "mandag", 2, "tirsdag", 3, "onsdag", 4, "torsdag", 5, "fredag", 6, "lørdag", 7, "søndag")</f>
        <v>mandag</v>
      </c>
      <c r="D17">
        <f t="shared" si="0"/>
        <v>2</v>
      </c>
      <c r="E17" s="42">
        <f t="shared" si="2"/>
        <v>45362</v>
      </c>
      <c r="F17" s="15" t="s">
        <v>21</v>
      </c>
      <c r="G17" s="17" cm="1">
        <f t="array" ref="G17">IFERROR(IF(OR(AND(Masterdata!$B$4&lt;&gt;DATE(1900,1,0), Masterdata!$B$4&lt;$E17), AND(Masterdata!$B$3&lt;&gt;DATE(1900,1,0), Masterdata!$B$3&gt;$E17)), IF($H17&gt;TIME(0,0,0), "tast i næste felt", 0), IF($H17&gt;TIME(0,0,0), "Tast i næste felt", IF($H17&gt;0, 0, _xlfn.IFS($C17="lørdag", 0, $C17="søndag", 0, $F17="N", $V$8)))), "Tast i næste felt")</f>
        <v>0.30833333333333335</v>
      </c>
      <c r="H17" s="17">
        <v>0</v>
      </c>
      <c r="I17" s="16">
        <v>0</v>
      </c>
      <c r="J17" s="16">
        <v>0</v>
      </c>
      <c r="K17" s="50" t="str">
        <f>IF(OR(AND(Masterdata!$B$4&lt;&gt;DATE(1900,1,0),Masterdata!$B$4&lt;$E17),AND(Masterdata!$B$3&lt;&gt;DATE(1900,1,0),Masterdata!$B$3&gt;$E17)), "0:00", IF($H17&gt;TIME(0,0,0), IF($H17-$V$8&gt;=0, TEXT($H17-$V$8, "[t]:mm"), "-"&amp;TEXT(ABS($H17-$V$8), "[t]:mm")), IFERROR(IF($G17-$V$8=0, IF($G17-$V$8&gt;=0, TEXT($G17-$V$8, "[t]:mm"), "-"&amp;TEXT(ABS($G17-$V$8), "[t]:mm")), IF($J17-$I17&gt;=0, TEXT($J17-$I17, "[t]:mm"), "-"&amp;TEXT(ABS($J17-$I17), "[t]:mm"))), IF($J17-$I17-$V$8&gt;=0, TEXT($J17-$I17-$V$8, "[t]:mm"), "-"&amp;TEXT(ABS($J17-$I17-$V$8), "[t]:mm")))))</f>
        <v>0:00</v>
      </c>
      <c r="L17" s="54" t="str">
        <f t="shared" si="3"/>
        <v>0</v>
      </c>
      <c r="M17" s="58" t="str">
        <f t="shared" si="4"/>
        <v>0</v>
      </c>
      <c r="N17" s="51" t="str">
        <f t="shared" si="5"/>
        <v>00</v>
      </c>
      <c r="O17" s="57">
        <f t="shared" si="6"/>
        <v>0</v>
      </c>
      <c r="P17" s="6">
        <f t="shared" si="7"/>
        <v>0</v>
      </c>
      <c r="Q17" s="63"/>
      <c r="U17" s="42"/>
    </row>
    <row r="18" spans="1:21" ht="15.75" x14ac:dyDescent="0.25">
      <c r="A18" s="12">
        <f t="shared" si="1"/>
        <v>11</v>
      </c>
      <c r="B18" s="13">
        <f t="shared" si="8"/>
        <v>45363</v>
      </c>
      <c r="C18" s="14" t="str" cm="1">
        <f t="array" ref="C18">_xlfn.SWITCH(WEEKDAY($D18, 2), 1, "mandag", 2, "tirsdag", 3, "onsdag", 4, "torsdag", 5, "fredag", 6, "lørdag", 7, "søndag")</f>
        <v>tirsdag</v>
      </c>
      <c r="D18">
        <f t="shared" si="0"/>
        <v>3</v>
      </c>
      <c r="E18" s="42">
        <f t="shared" si="2"/>
        <v>45363</v>
      </c>
      <c r="F18" s="15" t="s">
        <v>21</v>
      </c>
      <c r="G18" s="17" cm="1">
        <f t="array" ref="G18">IFERROR(IF(OR(AND(Masterdata!$B$4&lt;&gt;DATE(1900,1,0), Masterdata!$B$4&lt;$E18), AND(Masterdata!$B$3&lt;&gt;DATE(1900,1,0), Masterdata!$B$3&gt;$E18)), IF($H18&gt;TIME(0,0,0), "tast i næste felt", 0), IF($H18&gt;TIME(0,0,0), "Tast i næste felt", IF($H18&gt;0, 0, _xlfn.IFS($C18="lørdag", 0, $C18="søndag", 0, $F18="N", $V$8)))), "Tast i næste felt")</f>
        <v>0.30833333333333335</v>
      </c>
      <c r="H18" s="17">
        <v>0</v>
      </c>
      <c r="I18" s="16">
        <v>0</v>
      </c>
      <c r="J18" s="16">
        <v>0</v>
      </c>
      <c r="K18" s="50" t="str">
        <f>IF(OR(AND(Masterdata!$B$4&lt;&gt;DATE(1900,1,0),Masterdata!$B$4&lt;$E18),AND(Masterdata!$B$3&lt;&gt;DATE(1900,1,0),Masterdata!$B$3&gt;$E18)), "0:00", IF($H18&gt;TIME(0,0,0), IF($H18-$V$8&gt;=0, TEXT($H18-$V$8, "[t]:mm"), "-"&amp;TEXT(ABS($H18-$V$8), "[t]:mm")), IFERROR(IF($G18-$V$8=0, IF($G18-$V$8&gt;=0, TEXT($G18-$V$8, "[t]:mm"), "-"&amp;TEXT(ABS($G18-$V$8), "[t]:mm")), IF($J18-$I18&gt;=0, TEXT($J18-$I18, "[t]:mm"), "-"&amp;TEXT(ABS($J18-$I18), "[t]:mm"))), IF($J18-$I18-$V$8&gt;=0, TEXT($J18-$I18-$V$8, "[t]:mm"), "-"&amp;TEXT(ABS($J18-$I18-$V$8), "[t]:mm")))))</f>
        <v>0:00</v>
      </c>
      <c r="L18" s="54" t="str">
        <f t="shared" si="3"/>
        <v>0</v>
      </c>
      <c r="M18" s="58" t="str">
        <f t="shared" si="4"/>
        <v>0</v>
      </c>
      <c r="N18" s="51" t="str">
        <f t="shared" si="5"/>
        <v>00</v>
      </c>
      <c r="O18" s="57">
        <f t="shared" si="6"/>
        <v>0</v>
      </c>
      <c r="P18" s="6">
        <f t="shared" si="7"/>
        <v>0</v>
      </c>
      <c r="Q18" s="63"/>
      <c r="R18" s="52"/>
    </row>
    <row r="19" spans="1:21" ht="15.75" x14ac:dyDescent="0.25">
      <c r="A19" s="12">
        <f t="shared" si="1"/>
        <v>11</v>
      </c>
      <c r="B19" s="13">
        <f t="shared" si="8"/>
        <v>45364</v>
      </c>
      <c r="C19" s="14" t="str" cm="1">
        <f t="array" ref="C19">_xlfn.SWITCH(WEEKDAY($D19, 2), 1, "mandag", 2, "tirsdag", 3, "onsdag", 4, "torsdag", 5, "fredag", 6, "lørdag", 7, "søndag")</f>
        <v>onsdag</v>
      </c>
      <c r="D19">
        <f t="shared" si="0"/>
        <v>4</v>
      </c>
      <c r="E19" s="42">
        <f t="shared" si="2"/>
        <v>45364</v>
      </c>
      <c r="F19" s="15" t="s">
        <v>21</v>
      </c>
      <c r="G19" s="17" cm="1">
        <f t="array" ref="G19">IFERROR(IF(OR(AND(Masterdata!$B$4&lt;&gt;DATE(1900,1,0), Masterdata!$B$4&lt;$E19), AND(Masterdata!$B$3&lt;&gt;DATE(1900,1,0), Masterdata!$B$3&gt;$E19)), IF($H19&gt;TIME(0,0,0), "tast i næste felt", 0), IF($H19&gt;TIME(0,0,0), "Tast i næste felt", IF($H19&gt;0, 0, _xlfn.IFS($C19="lørdag", 0, $C19="søndag", 0, $F19="N", $V$8)))), "Tast i næste felt")</f>
        <v>0.30833333333333335</v>
      </c>
      <c r="H19" s="17">
        <v>0</v>
      </c>
      <c r="I19" s="16">
        <v>0</v>
      </c>
      <c r="J19" s="16">
        <v>0</v>
      </c>
      <c r="K19" s="50" t="str">
        <f>IF(OR(AND(Masterdata!$B$4&lt;&gt;DATE(1900,1,0),Masterdata!$B$4&lt;$E19),AND(Masterdata!$B$3&lt;&gt;DATE(1900,1,0),Masterdata!$B$3&gt;$E19)), "0:00", IF($H19&gt;TIME(0,0,0), IF($H19-$V$8&gt;=0, TEXT($H19-$V$8, "[t]:mm"), "-"&amp;TEXT(ABS($H19-$V$8), "[t]:mm")), IFERROR(IF($G19-$V$8=0, IF($G19-$V$8&gt;=0, TEXT($G19-$V$8, "[t]:mm"), "-"&amp;TEXT(ABS($G19-$V$8), "[t]:mm")), IF($J19-$I19&gt;=0, TEXT($J19-$I19, "[t]:mm"), "-"&amp;TEXT(ABS($J19-$I19), "[t]:mm"))), IF($J19-$I19-$V$8&gt;=0, TEXT($J19-$I19-$V$8, "[t]:mm"), "-"&amp;TEXT(ABS($J19-$I19-$V$8), "[t]:mm")))))</f>
        <v>0:00</v>
      </c>
      <c r="L19" s="54" t="str">
        <f t="shared" si="3"/>
        <v>0</v>
      </c>
      <c r="M19" s="58" t="str">
        <f t="shared" si="4"/>
        <v>0</v>
      </c>
      <c r="N19" s="51" t="str">
        <f t="shared" si="5"/>
        <v>00</v>
      </c>
      <c r="O19" s="57">
        <f t="shared" si="6"/>
        <v>0</v>
      </c>
      <c r="P19" s="6">
        <f t="shared" si="7"/>
        <v>0</v>
      </c>
      <c r="Q19" s="63"/>
    </row>
    <row r="20" spans="1:21" ht="15.75" x14ac:dyDescent="0.25">
      <c r="A20" s="12">
        <f t="shared" si="1"/>
        <v>11</v>
      </c>
      <c r="B20" s="13">
        <f t="shared" si="8"/>
        <v>45365</v>
      </c>
      <c r="C20" s="14" t="str" cm="1">
        <f t="array" ref="C20">_xlfn.SWITCH(WEEKDAY($D20, 2), 1, "mandag", 2, "tirsdag", 3, "onsdag", 4, "torsdag", 5, "fredag", 6, "lørdag", 7, "søndag")</f>
        <v>torsdag</v>
      </c>
      <c r="D20">
        <f t="shared" si="0"/>
        <v>5</v>
      </c>
      <c r="E20" s="42">
        <f t="shared" si="2"/>
        <v>45365</v>
      </c>
      <c r="F20" s="15" t="s">
        <v>21</v>
      </c>
      <c r="G20" s="17" cm="1">
        <f t="array" ref="G20">IFERROR(IF(OR(AND(Masterdata!$B$4&lt;&gt;DATE(1900,1,0), Masterdata!$B$4&lt;$E20), AND(Masterdata!$B$3&lt;&gt;DATE(1900,1,0), Masterdata!$B$3&gt;$E20)), IF($H20&gt;TIME(0,0,0), "tast i næste felt", 0), IF($H20&gt;TIME(0,0,0), "Tast i næste felt", IF($H20&gt;0, 0, _xlfn.IFS($C20="lørdag", 0, $C20="søndag", 0, $F20="N", $V$8)))), "Tast i næste felt")</f>
        <v>0.30833333333333335</v>
      </c>
      <c r="H20" s="17">
        <v>0</v>
      </c>
      <c r="I20" s="16">
        <v>0</v>
      </c>
      <c r="J20" s="16">
        <v>0</v>
      </c>
      <c r="K20" s="50" t="str">
        <f>IF(OR(AND(Masterdata!$B$4&lt;&gt;DATE(1900,1,0),Masterdata!$B$4&lt;$E20),AND(Masterdata!$B$3&lt;&gt;DATE(1900,1,0),Masterdata!$B$3&gt;$E20)), "0:00", IF($H20&gt;TIME(0,0,0), IF($H20-$V$8&gt;=0, TEXT($H20-$V$8, "[t]:mm"), "-"&amp;TEXT(ABS($H20-$V$8), "[t]:mm")), IFERROR(IF($G20-$V$8=0, IF($G20-$V$8&gt;=0, TEXT($G20-$V$8, "[t]:mm"), "-"&amp;TEXT(ABS($G20-$V$8), "[t]:mm")), IF($J20-$I20&gt;=0, TEXT($J20-$I20, "[t]:mm"), "-"&amp;TEXT(ABS($J20-$I20), "[t]:mm"))), IF($J20-$I20-$V$8&gt;=0, TEXT($J20-$I20-$V$8, "[t]:mm"), "-"&amp;TEXT(ABS($J20-$I20-$V$8), "[t]:mm")))))</f>
        <v>0:00</v>
      </c>
      <c r="L20" s="54" t="str">
        <f t="shared" si="3"/>
        <v>0</v>
      </c>
      <c r="M20" s="58" t="str">
        <f t="shared" si="4"/>
        <v>0</v>
      </c>
      <c r="N20" s="51" t="str">
        <f t="shared" si="5"/>
        <v>00</v>
      </c>
      <c r="O20" s="57">
        <f t="shared" si="6"/>
        <v>0</v>
      </c>
      <c r="P20" s="6">
        <f t="shared" si="7"/>
        <v>0</v>
      </c>
      <c r="Q20" s="63"/>
    </row>
    <row r="21" spans="1:21" ht="15.75" x14ac:dyDescent="0.25">
      <c r="A21" s="12">
        <f t="shared" si="1"/>
        <v>11</v>
      </c>
      <c r="B21" s="13">
        <f t="shared" si="8"/>
        <v>45366</v>
      </c>
      <c r="C21" s="14" t="str" cm="1">
        <f t="array" ref="C21">_xlfn.SWITCH(WEEKDAY($D21, 2), 1, "mandag", 2, "tirsdag", 3, "onsdag", 4, "torsdag", 5, "fredag", 6, "lørdag", 7, "søndag")</f>
        <v>fredag</v>
      </c>
      <c r="D21">
        <f t="shared" si="0"/>
        <v>6</v>
      </c>
      <c r="E21" s="42">
        <f t="shared" si="2"/>
        <v>45366</v>
      </c>
      <c r="F21" s="15" t="s">
        <v>21</v>
      </c>
      <c r="G21" s="17" cm="1">
        <f t="array" ref="G21">IFERROR(IF(OR(AND(Masterdata!$B$4&lt;&gt;DATE(1900,1,0), Masterdata!$B$4&lt;$E21), AND(Masterdata!$B$3&lt;&gt;DATE(1900,1,0), Masterdata!$B$3&gt;$E21)), IF($H21&gt;TIME(0,0,0), "tast i næste felt", 0), IF($H21&gt;TIME(0,0,0), "Tast i næste felt", IF($H21&gt;0, 0, _xlfn.IFS($C21="lørdag", 0, $C21="søndag", 0, $F21="N", $V$8)))), "Tast i næste felt")</f>
        <v>0.30833333333333335</v>
      </c>
      <c r="H21" s="17">
        <v>0</v>
      </c>
      <c r="I21" s="16">
        <v>0</v>
      </c>
      <c r="J21" s="16">
        <v>0</v>
      </c>
      <c r="K21" s="50" t="str">
        <f>IF(OR(AND(Masterdata!$B$4&lt;&gt;DATE(1900,1,0),Masterdata!$B$4&lt;$E21),AND(Masterdata!$B$3&lt;&gt;DATE(1900,1,0),Masterdata!$B$3&gt;$E21)), "0:00", IF($H21&gt;TIME(0,0,0), IF($H21-$V$8&gt;=0, TEXT($H21-$V$8, "[t]:mm"), "-"&amp;TEXT(ABS($H21-$V$8), "[t]:mm")), IFERROR(IF($G21-$V$8=0, IF($G21-$V$8&gt;=0, TEXT($G21-$V$8, "[t]:mm"), "-"&amp;TEXT(ABS($G21-$V$8), "[t]:mm")), IF($J21-$I21&gt;=0, TEXT($J21-$I21, "[t]:mm"), "-"&amp;TEXT(ABS($J21-$I21), "[t]:mm"))), IF($J21-$I21-$V$8&gt;=0, TEXT($J21-$I21-$V$8, "[t]:mm"), "-"&amp;TEXT(ABS($J21-$I21-$V$8), "[t]:mm")))))</f>
        <v>0:00</v>
      </c>
      <c r="L21" s="54" t="str">
        <f t="shared" si="3"/>
        <v>0</v>
      </c>
      <c r="M21" s="58" t="str">
        <f t="shared" si="4"/>
        <v>0</v>
      </c>
      <c r="N21" s="51" t="str">
        <f t="shared" si="5"/>
        <v>00</v>
      </c>
      <c r="O21" s="57">
        <f t="shared" si="6"/>
        <v>0</v>
      </c>
      <c r="P21" s="6">
        <f t="shared" si="7"/>
        <v>0</v>
      </c>
      <c r="Q21" s="63"/>
    </row>
    <row r="22" spans="1:21" ht="15.75" x14ac:dyDescent="0.25">
      <c r="A22" s="12">
        <f t="shared" si="1"/>
        <v>11</v>
      </c>
      <c r="B22" s="13">
        <f t="shared" si="8"/>
        <v>45367</v>
      </c>
      <c r="C22" s="14" t="str" cm="1">
        <f t="array" ref="C22">_xlfn.SWITCH(WEEKDAY($D22, 2), 1, "mandag", 2, "tirsdag", 3, "onsdag", 4, "torsdag", 5, "fredag", 6, "lørdag", 7, "søndag")</f>
        <v>lørdag</v>
      </c>
      <c r="D22">
        <f t="shared" si="0"/>
        <v>7</v>
      </c>
      <c r="E22" s="42">
        <f t="shared" si="2"/>
        <v>45367</v>
      </c>
      <c r="F22" s="15" t="s">
        <v>21</v>
      </c>
      <c r="G22" s="17" cm="1">
        <f t="array" ref="G22">IFERROR(IF(OR(AND(Masterdata!$B$4&lt;&gt;DATE(1900,1,0), Masterdata!$B$4&lt;$E22), AND(Masterdata!$B$3&lt;&gt;DATE(1900,1,0), Masterdata!$B$3&gt;$E22)), IF($H22&gt;TIME(0,0,0), "tast i næste felt", 0), IF($H22&gt;TIME(0,0,0), "Tast i næste felt", IF($H22&gt;0, 0, _xlfn.IFS($C22="lørdag", 0, $C22="søndag", 0, $F22="N", $V$8)))), "Tast i næste felt")</f>
        <v>0</v>
      </c>
      <c r="H22" s="17">
        <v>0</v>
      </c>
      <c r="I22" s="16">
        <v>0</v>
      </c>
      <c r="J22" s="16">
        <v>0</v>
      </c>
      <c r="K22" s="50" t="str">
        <f>IF(OR(AND(Masterdata!$B$4&lt;&gt;DATE(1900,1,0),Masterdata!$B$4&lt;$E22),AND(Masterdata!$B$3&lt;&gt;DATE(1900,1,0),Masterdata!$B$3&gt;$E22)), "0:00", IF($H22&gt;TIME(0,0,0), IF($H22-$V$8&gt;=0, TEXT($H22-$V$8, "[t]:mm"), "-"&amp;TEXT(ABS($H22-$V$8), "[t]:mm")), IFERROR(IF($G22-$V$8=0, IF($G22-$V$8&gt;=0, TEXT($G22-$V$8, "[t]:mm"), "-"&amp;TEXT(ABS($G22-$V$8), "[t]:mm")), IF($J22-$I22&gt;=0, TEXT($J22-$I22, "[t]:mm"), "-"&amp;TEXT(ABS($J22-$I22), "[t]:mm"))), IF($J22-$I22-$V$8&gt;=0, TEXT($J22-$I22-$V$8, "[t]:mm"), "-"&amp;TEXT(ABS($J22-$I22-$V$8), "[t]:mm")))))</f>
        <v>0:00</v>
      </c>
      <c r="L22" s="54" t="str">
        <f t="shared" si="3"/>
        <v>0</v>
      </c>
      <c r="M22" s="58" t="str">
        <f t="shared" si="4"/>
        <v>0</v>
      </c>
      <c r="N22" s="51" t="str">
        <f t="shared" si="5"/>
        <v>00</v>
      </c>
      <c r="O22" s="57">
        <f t="shared" si="6"/>
        <v>0</v>
      </c>
      <c r="P22" s="6">
        <f t="shared" si="7"/>
        <v>0</v>
      </c>
      <c r="Q22" s="63"/>
    </row>
    <row r="23" spans="1:21" ht="15.75" x14ac:dyDescent="0.25">
      <c r="A23" s="12">
        <f t="shared" si="1"/>
        <v>11</v>
      </c>
      <c r="B23" s="13">
        <f t="shared" si="8"/>
        <v>45368</v>
      </c>
      <c r="C23" s="14" t="str" cm="1">
        <f t="array" ref="C23">_xlfn.SWITCH(WEEKDAY($D23, 2), 1, "mandag", 2, "tirsdag", 3, "onsdag", 4, "torsdag", 5, "fredag", 6, "lørdag", 7, "søndag")</f>
        <v>søndag</v>
      </c>
      <c r="D23">
        <f t="shared" si="0"/>
        <v>8</v>
      </c>
      <c r="E23" s="42">
        <f t="shared" si="2"/>
        <v>45368</v>
      </c>
      <c r="F23" s="15" t="s">
        <v>21</v>
      </c>
      <c r="G23" s="17" cm="1">
        <f t="array" ref="G23">IFERROR(IF(OR(AND(Masterdata!$B$4&lt;&gt;DATE(1900,1,0), Masterdata!$B$4&lt;$E23), AND(Masterdata!$B$3&lt;&gt;DATE(1900,1,0), Masterdata!$B$3&gt;$E23)), IF($H23&gt;TIME(0,0,0), "tast i næste felt", 0), IF($H23&gt;TIME(0,0,0), "Tast i næste felt", IF($H23&gt;0, 0, _xlfn.IFS($C23="lørdag", 0, $C23="søndag", 0, $F23="N", $V$8)))), "Tast i næste felt")</f>
        <v>0</v>
      </c>
      <c r="H23" s="17">
        <v>0</v>
      </c>
      <c r="I23" s="16">
        <v>0</v>
      </c>
      <c r="J23" s="16">
        <v>0</v>
      </c>
      <c r="K23" s="50" t="str">
        <f>IF(OR(AND(Masterdata!$B$4&lt;&gt;DATE(1900,1,0),Masterdata!$B$4&lt;$E23),AND(Masterdata!$B$3&lt;&gt;DATE(1900,1,0),Masterdata!$B$3&gt;$E23)), "0:00", IF($H23&gt;TIME(0,0,0), IF($H23-$V$8&gt;=0, TEXT($H23-$V$8, "[t]:mm"), "-"&amp;TEXT(ABS($H23-$V$8), "[t]:mm")), IFERROR(IF($G23-$V$8=0, IF($G23-$V$8&gt;=0, TEXT($G23-$V$8, "[t]:mm"), "-"&amp;TEXT(ABS($G23-$V$8), "[t]:mm")), IF($J23-$I23&gt;=0, TEXT($J23-$I23, "[t]:mm"), "-"&amp;TEXT(ABS($J23-$I23), "[t]:mm"))), IF($J23-$I23-$V$8&gt;=0, TEXT($J23-$I23-$V$8, "[t]:mm"), "-"&amp;TEXT(ABS($J23-$I23-$V$8), "[t]:mm")))))</f>
        <v>0:00</v>
      </c>
      <c r="L23" s="54" t="str">
        <f t="shared" si="3"/>
        <v>0</v>
      </c>
      <c r="M23" s="58" t="str">
        <f t="shared" si="4"/>
        <v>0</v>
      </c>
      <c r="N23" s="51" t="str">
        <f t="shared" si="5"/>
        <v>00</v>
      </c>
      <c r="O23" s="57">
        <f t="shared" si="6"/>
        <v>0</v>
      </c>
      <c r="P23" s="6">
        <f t="shared" si="7"/>
        <v>0</v>
      </c>
      <c r="Q23" s="63"/>
    </row>
    <row r="24" spans="1:21" ht="15.75" x14ac:dyDescent="0.25">
      <c r="A24" s="12">
        <f t="shared" si="1"/>
        <v>12</v>
      </c>
      <c r="B24" s="13">
        <f t="shared" si="8"/>
        <v>45369</v>
      </c>
      <c r="C24" s="14" t="str" cm="1">
        <f t="array" ref="C24">_xlfn.SWITCH(WEEKDAY($D24, 2), 1, "mandag", 2, "tirsdag", 3, "onsdag", 4, "torsdag", 5, "fredag", 6, "lørdag", 7, "søndag")</f>
        <v>mandag</v>
      </c>
      <c r="D24">
        <f t="shared" si="0"/>
        <v>2</v>
      </c>
      <c r="E24" s="42">
        <f t="shared" si="2"/>
        <v>45369</v>
      </c>
      <c r="F24" s="15" t="s">
        <v>21</v>
      </c>
      <c r="G24" s="17" cm="1">
        <f t="array" ref="G24">IFERROR(IF(OR(AND(Masterdata!$B$4&lt;&gt;DATE(1900,1,0), Masterdata!$B$4&lt;$E24), AND(Masterdata!$B$3&lt;&gt;DATE(1900,1,0), Masterdata!$B$3&gt;$E24)), IF($H24&gt;TIME(0,0,0), "tast i næste felt", 0), IF($H24&gt;TIME(0,0,0), "Tast i næste felt", IF($H24&gt;0, 0, _xlfn.IFS($C24="lørdag", 0, $C24="søndag", 0, $F24="N", $V$8)))), "Tast i næste felt")</f>
        <v>0.30833333333333335</v>
      </c>
      <c r="H24" s="17">
        <v>0</v>
      </c>
      <c r="I24" s="16">
        <v>0</v>
      </c>
      <c r="J24" s="16">
        <v>0</v>
      </c>
      <c r="K24" s="50" t="str">
        <f>IF(OR(AND(Masterdata!$B$4&lt;&gt;DATE(1900,1,0),Masterdata!$B$4&lt;$E24),AND(Masterdata!$B$3&lt;&gt;DATE(1900,1,0),Masterdata!$B$3&gt;$E24)), "0:00", IF($H24&gt;TIME(0,0,0), IF($H24-$V$8&gt;=0, TEXT($H24-$V$8, "[t]:mm"), "-"&amp;TEXT(ABS($H24-$V$8), "[t]:mm")), IFERROR(IF($G24-$V$8=0, IF($G24-$V$8&gt;=0, TEXT($G24-$V$8, "[t]:mm"), "-"&amp;TEXT(ABS($G24-$V$8), "[t]:mm")), IF($J24-$I24&gt;=0, TEXT($J24-$I24, "[t]:mm"), "-"&amp;TEXT(ABS($J24-$I24), "[t]:mm"))), IF($J24-$I24-$V$8&gt;=0, TEXT($J24-$I24-$V$8, "[t]:mm"), "-"&amp;TEXT(ABS($J24-$I24-$V$8), "[t]:mm")))))</f>
        <v>0:00</v>
      </c>
      <c r="L24" s="54" t="str">
        <f t="shared" si="3"/>
        <v>0</v>
      </c>
      <c r="M24" s="58" t="str">
        <f t="shared" si="4"/>
        <v>0</v>
      </c>
      <c r="N24" s="51" t="str">
        <f t="shared" si="5"/>
        <v>00</v>
      </c>
      <c r="O24" s="57">
        <f t="shared" si="6"/>
        <v>0</v>
      </c>
      <c r="P24" s="6">
        <f t="shared" si="7"/>
        <v>0</v>
      </c>
      <c r="Q24" s="63"/>
    </row>
    <row r="25" spans="1:21" ht="15.75" x14ac:dyDescent="0.25">
      <c r="A25" s="12">
        <f t="shared" si="1"/>
        <v>12</v>
      </c>
      <c r="B25" s="13">
        <f t="shared" si="8"/>
        <v>45370</v>
      </c>
      <c r="C25" s="14" t="str" cm="1">
        <f t="array" ref="C25">_xlfn.SWITCH(WEEKDAY($D25, 2), 1, "mandag", 2, "tirsdag", 3, "onsdag", 4, "torsdag", 5, "fredag", 6, "lørdag", 7, "søndag")</f>
        <v>tirsdag</v>
      </c>
      <c r="D25">
        <f t="shared" si="0"/>
        <v>3</v>
      </c>
      <c r="E25" s="42">
        <f t="shared" si="2"/>
        <v>45370</v>
      </c>
      <c r="F25" s="15" t="s">
        <v>21</v>
      </c>
      <c r="G25" s="17" cm="1">
        <f t="array" ref="G25">IFERROR(IF(OR(AND(Masterdata!$B$4&lt;&gt;DATE(1900,1,0), Masterdata!$B$4&lt;$E25), AND(Masterdata!$B$3&lt;&gt;DATE(1900,1,0), Masterdata!$B$3&gt;$E25)), IF($H25&gt;TIME(0,0,0), "tast i næste felt", 0), IF($H25&gt;TIME(0,0,0), "Tast i næste felt", IF($H25&gt;0, 0, _xlfn.IFS($C25="lørdag", 0, $C25="søndag", 0, $F25="N", $V$8)))), "Tast i næste felt")</f>
        <v>0.30833333333333335</v>
      </c>
      <c r="H25" s="17">
        <v>0</v>
      </c>
      <c r="I25" s="16">
        <v>0</v>
      </c>
      <c r="J25" s="16">
        <v>0</v>
      </c>
      <c r="K25" s="50" t="str">
        <f>IF(OR(AND(Masterdata!$B$4&lt;&gt;DATE(1900,1,0),Masterdata!$B$4&lt;$E25),AND(Masterdata!$B$3&lt;&gt;DATE(1900,1,0),Masterdata!$B$3&gt;$E25)), "0:00", IF($H25&gt;TIME(0,0,0), IF($H25-$V$8&gt;=0, TEXT($H25-$V$8, "[t]:mm"), "-"&amp;TEXT(ABS($H25-$V$8), "[t]:mm")), IFERROR(IF($G25-$V$8=0, IF($G25-$V$8&gt;=0, TEXT($G25-$V$8, "[t]:mm"), "-"&amp;TEXT(ABS($G25-$V$8), "[t]:mm")), IF($J25-$I25&gt;=0, TEXT($J25-$I25, "[t]:mm"), "-"&amp;TEXT(ABS($J25-$I25), "[t]:mm"))), IF($J25-$I25-$V$8&gt;=0, TEXT($J25-$I25-$V$8, "[t]:mm"), "-"&amp;TEXT(ABS($J25-$I25-$V$8), "[t]:mm")))))</f>
        <v>0:00</v>
      </c>
      <c r="L25" s="54" t="str">
        <f t="shared" si="3"/>
        <v>0</v>
      </c>
      <c r="M25" s="58" t="str">
        <f t="shared" si="4"/>
        <v>0</v>
      </c>
      <c r="N25" s="51" t="str">
        <f t="shared" si="5"/>
        <v>00</v>
      </c>
      <c r="O25" s="57">
        <f t="shared" si="6"/>
        <v>0</v>
      </c>
      <c r="P25" s="6">
        <f t="shared" si="7"/>
        <v>0</v>
      </c>
      <c r="Q25" s="63"/>
    </row>
    <row r="26" spans="1:21" ht="15.75" x14ac:dyDescent="0.25">
      <c r="A26" s="12">
        <f t="shared" si="1"/>
        <v>12</v>
      </c>
      <c r="B26" s="13">
        <f t="shared" si="8"/>
        <v>45371</v>
      </c>
      <c r="C26" s="14" t="str" cm="1">
        <f t="array" ref="C26">_xlfn.SWITCH(WEEKDAY($D26, 2), 1, "mandag", 2, "tirsdag", 3, "onsdag", 4, "torsdag", 5, "fredag", 6, "lørdag", 7, "søndag")</f>
        <v>onsdag</v>
      </c>
      <c r="D26">
        <f t="shared" si="0"/>
        <v>4</v>
      </c>
      <c r="E26" s="42">
        <f t="shared" si="2"/>
        <v>45371</v>
      </c>
      <c r="F26" s="15" t="s">
        <v>21</v>
      </c>
      <c r="G26" s="17" cm="1">
        <f t="array" ref="G26">IFERROR(IF(OR(AND(Masterdata!$B$4&lt;&gt;DATE(1900,1,0), Masterdata!$B$4&lt;$E26), AND(Masterdata!$B$3&lt;&gt;DATE(1900,1,0), Masterdata!$B$3&gt;$E26)), IF($H26&gt;TIME(0,0,0), "tast i næste felt", 0), IF($H26&gt;TIME(0,0,0), "Tast i næste felt", IF($H26&gt;0, 0, _xlfn.IFS($C26="lørdag", 0, $C26="søndag", 0, $F26="N", $V$8)))), "Tast i næste felt")</f>
        <v>0.30833333333333335</v>
      </c>
      <c r="H26" s="17">
        <v>0</v>
      </c>
      <c r="I26" s="16">
        <v>0</v>
      </c>
      <c r="J26" s="16">
        <v>0</v>
      </c>
      <c r="K26" s="50" t="str">
        <f>IF(OR(AND(Masterdata!$B$4&lt;&gt;DATE(1900,1,0),Masterdata!$B$4&lt;$E26),AND(Masterdata!$B$3&lt;&gt;DATE(1900,1,0),Masterdata!$B$3&gt;$E26)), "0:00", IF($H26&gt;TIME(0,0,0), IF($H26-$V$8&gt;=0, TEXT($H26-$V$8, "[t]:mm"), "-"&amp;TEXT(ABS($H26-$V$8), "[t]:mm")), IFERROR(IF($G26-$V$8=0, IF($G26-$V$8&gt;=0, TEXT($G26-$V$8, "[t]:mm"), "-"&amp;TEXT(ABS($G26-$V$8), "[t]:mm")), IF($J26-$I26&gt;=0, TEXT($J26-$I26, "[t]:mm"), "-"&amp;TEXT(ABS($J26-$I26), "[t]:mm"))), IF($J26-$I26-$V$8&gt;=0, TEXT($J26-$I26-$V$8, "[t]:mm"), "-"&amp;TEXT(ABS($J26-$I26-$V$8), "[t]:mm")))))</f>
        <v>0:00</v>
      </c>
      <c r="L26" s="54" t="str">
        <f t="shared" si="3"/>
        <v>0</v>
      </c>
      <c r="M26" s="58" t="str">
        <f t="shared" si="4"/>
        <v>0</v>
      </c>
      <c r="N26" s="51" t="str">
        <f t="shared" si="5"/>
        <v>00</v>
      </c>
      <c r="O26" s="57">
        <f t="shared" si="6"/>
        <v>0</v>
      </c>
      <c r="P26" s="6">
        <f t="shared" si="7"/>
        <v>0</v>
      </c>
      <c r="Q26" s="63"/>
    </row>
    <row r="27" spans="1:21" ht="15.75" x14ac:dyDescent="0.25">
      <c r="A27" s="12">
        <f t="shared" si="1"/>
        <v>12</v>
      </c>
      <c r="B27" s="13">
        <f t="shared" si="8"/>
        <v>45372</v>
      </c>
      <c r="C27" s="14" t="str" cm="1">
        <f t="array" ref="C27">_xlfn.SWITCH(WEEKDAY($D27, 2), 1, "mandag", 2, "tirsdag", 3, "onsdag", 4, "torsdag", 5, "fredag", 6, "lørdag", 7, "søndag")</f>
        <v>torsdag</v>
      </c>
      <c r="D27">
        <f t="shared" si="0"/>
        <v>5</v>
      </c>
      <c r="E27" s="42">
        <f t="shared" si="2"/>
        <v>45372</v>
      </c>
      <c r="F27" s="15" t="s">
        <v>21</v>
      </c>
      <c r="G27" s="17" cm="1">
        <f t="array" ref="G27">IFERROR(IF(OR(AND(Masterdata!$B$4&lt;&gt;DATE(1900,1,0), Masterdata!$B$4&lt;$E27), AND(Masterdata!$B$3&lt;&gt;DATE(1900,1,0), Masterdata!$B$3&gt;$E27)), IF($H27&gt;TIME(0,0,0), "tast i næste felt", 0), IF($H27&gt;TIME(0,0,0), "Tast i næste felt", IF($H27&gt;0, 0, _xlfn.IFS($C27="lørdag", 0, $C27="søndag", 0, $F27="N", $V$8)))), "Tast i næste felt")</f>
        <v>0.30833333333333335</v>
      </c>
      <c r="H27" s="17">
        <v>0</v>
      </c>
      <c r="I27" s="16">
        <v>0</v>
      </c>
      <c r="J27" s="16">
        <v>0</v>
      </c>
      <c r="K27" s="50" t="str">
        <f>IF(OR(AND(Masterdata!$B$4&lt;&gt;DATE(1900,1,0),Masterdata!$B$4&lt;$E27),AND(Masterdata!$B$3&lt;&gt;DATE(1900,1,0),Masterdata!$B$3&gt;$E27)), "0:00", IF($H27&gt;TIME(0,0,0), IF($H27-$V$8&gt;=0, TEXT($H27-$V$8, "[t]:mm"), "-"&amp;TEXT(ABS($H27-$V$8), "[t]:mm")), IFERROR(IF($G27-$V$8=0, IF($G27-$V$8&gt;=0, TEXT($G27-$V$8, "[t]:mm"), "-"&amp;TEXT(ABS($G27-$V$8), "[t]:mm")), IF($J27-$I27&gt;=0, TEXT($J27-$I27, "[t]:mm"), "-"&amp;TEXT(ABS($J27-$I27), "[t]:mm"))), IF($J27-$I27-$V$8&gt;=0, TEXT($J27-$I27-$V$8, "[t]:mm"), "-"&amp;TEXT(ABS($J27-$I27-$V$8), "[t]:mm")))))</f>
        <v>0:00</v>
      </c>
      <c r="L27" s="54" t="str">
        <f t="shared" si="3"/>
        <v>0</v>
      </c>
      <c r="M27" s="58" t="str">
        <f t="shared" si="4"/>
        <v>0</v>
      </c>
      <c r="N27" s="51" t="str">
        <f t="shared" si="5"/>
        <v>00</v>
      </c>
      <c r="O27" s="57">
        <f t="shared" si="6"/>
        <v>0</v>
      </c>
      <c r="P27" s="6">
        <f t="shared" si="7"/>
        <v>0</v>
      </c>
      <c r="Q27" s="63"/>
    </row>
    <row r="28" spans="1:21" ht="15.75" x14ac:dyDescent="0.25">
      <c r="A28" s="12">
        <f t="shared" si="1"/>
        <v>12</v>
      </c>
      <c r="B28" s="13">
        <f t="shared" si="8"/>
        <v>45373</v>
      </c>
      <c r="C28" s="14" t="str" cm="1">
        <f t="array" ref="C28">_xlfn.SWITCH(WEEKDAY($D28, 2), 1, "mandag", 2, "tirsdag", 3, "onsdag", 4, "torsdag", 5, "fredag", 6, "lørdag", 7, "søndag")</f>
        <v>fredag</v>
      </c>
      <c r="D28">
        <f t="shared" si="0"/>
        <v>6</v>
      </c>
      <c r="E28" s="42">
        <f t="shared" si="2"/>
        <v>45373</v>
      </c>
      <c r="F28" s="15" t="s">
        <v>21</v>
      </c>
      <c r="G28" s="17" cm="1">
        <f t="array" ref="G28">IFERROR(IF(OR(AND(Masterdata!$B$4&lt;&gt;DATE(1900,1,0), Masterdata!$B$4&lt;$E28), AND(Masterdata!$B$3&lt;&gt;DATE(1900,1,0), Masterdata!$B$3&gt;$E28)), IF($H28&gt;TIME(0,0,0), "tast i næste felt", 0), IF($H28&gt;TIME(0,0,0), "Tast i næste felt", IF($H28&gt;0, 0, _xlfn.IFS($C28="lørdag", 0, $C28="søndag", 0, $F28="N", $V$8)))), "Tast i næste felt")</f>
        <v>0.30833333333333335</v>
      </c>
      <c r="H28" s="17">
        <v>0</v>
      </c>
      <c r="I28" s="16">
        <v>0</v>
      </c>
      <c r="J28" s="16">
        <v>0</v>
      </c>
      <c r="K28" s="50" t="str">
        <f>IF(OR(AND(Masterdata!$B$4&lt;&gt;DATE(1900,1,0),Masterdata!$B$4&lt;$E28),AND(Masterdata!$B$3&lt;&gt;DATE(1900,1,0),Masterdata!$B$3&gt;$E28)), "0:00", IF($H28&gt;TIME(0,0,0), IF($H28-$V$8&gt;=0, TEXT($H28-$V$8, "[t]:mm"), "-"&amp;TEXT(ABS($H28-$V$8), "[t]:mm")), IFERROR(IF($G28-$V$8=0, IF($G28-$V$8&gt;=0, TEXT($G28-$V$8, "[t]:mm"), "-"&amp;TEXT(ABS($G28-$V$8), "[t]:mm")), IF($J28-$I28&gt;=0, TEXT($J28-$I28, "[t]:mm"), "-"&amp;TEXT(ABS($J28-$I28), "[t]:mm"))), IF($J28-$I28-$V$8&gt;=0, TEXT($J28-$I28-$V$8, "[t]:mm"), "-"&amp;TEXT(ABS($J28-$I28-$V$8), "[t]:mm")))))</f>
        <v>0:00</v>
      </c>
      <c r="L28" s="54" t="str">
        <f t="shared" si="3"/>
        <v>0</v>
      </c>
      <c r="M28" s="58" t="str">
        <f t="shared" si="4"/>
        <v>0</v>
      </c>
      <c r="N28" s="51" t="str">
        <f t="shared" si="5"/>
        <v>00</v>
      </c>
      <c r="O28" s="57">
        <f t="shared" si="6"/>
        <v>0</v>
      </c>
      <c r="P28" s="6">
        <f t="shared" si="7"/>
        <v>0</v>
      </c>
      <c r="Q28" s="63"/>
    </row>
    <row r="29" spans="1:21" ht="15.75" x14ac:dyDescent="0.25">
      <c r="A29" s="12">
        <f t="shared" si="1"/>
        <v>12</v>
      </c>
      <c r="B29" s="13">
        <f t="shared" si="8"/>
        <v>45374</v>
      </c>
      <c r="C29" s="14" t="str" cm="1">
        <f t="array" ref="C29">_xlfn.SWITCH(WEEKDAY($D29, 2), 1, "mandag", 2, "tirsdag", 3, "onsdag", 4, "torsdag", 5, "fredag", 6, "lørdag", 7, "søndag")</f>
        <v>lørdag</v>
      </c>
      <c r="D29">
        <f t="shared" si="0"/>
        <v>7</v>
      </c>
      <c r="E29" s="42">
        <f t="shared" si="2"/>
        <v>45374</v>
      </c>
      <c r="F29" s="15" t="s">
        <v>21</v>
      </c>
      <c r="G29" s="17" cm="1">
        <f t="array" ref="G29">IFERROR(IF(OR(AND(Masterdata!$B$4&lt;&gt;DATE(1900,1,0), Masterdata!$B$4&lt;$E29), AND(Masterdata!$B$3&lt;&gt;DATE(1900,1,0), Masterdata!$B$3&gt;$E29)), IF($H29&gt;TIME(0,0,0), "tast i næste felt", 0), IF($H29&gt;TIME(0,0,0), "Tast i næste felt", IF($H29&gt;0, 0, _xlfn.IFS($C29="lørdag", 0, $C29="søndag", 0, $F29="N", $V$8)))), "Tast i næste felt")</f>
        <v>0</v>
      </c>
      <c r="H29" s="17">
        <v>0</v>
      </c>
      <c r="I29" s="16">
        <v>0</v>
      </c>
      <c r="J29" s="16">
        <v>0</v>
      </c>
      <c r="K29" s="50" t="str">
        <f>IF(OR(AND(Masterdata!$B$4&lt;&gt;DATE(1900,1,0),Masterdata!$B$4&lt;$E29),AND(Masterdata!$B$3&lt;&gt;DATE(1900,1,0),Masterdata!$B$3&gt;$E29)), "0:00", IF($H29&gt;TIME(0,0,0), IF($H29-$V$8&gt;=0, TEXT($H29-$V$8, "[t]:mm"), "-"&amp;TEXT(ABS($H29-$V$8), "[t]:mm")), IFERROR(IF($G29-$V$8=0, IF($G29-$V$8&gt;=0, TEXT($G29-$V$8, "[t]:mm"), "-"&amp;TEXT(ABS($G29-$V$8), "[t]:mm")), IF($J29-$I29&gt;=0, TEXT($J29-$I29, "[t]:mm"), "-"&amp;TEXT(ABS($J29-$I29), "[t]:mm"))), IF($J29-$I29-$V$8&gt;=0, TEXT($J29-$I29-$V$8, "[t]:mm"), "-"&amp;TEXT(ABS($J29-$I29-$V$8), "[t]:mm")))))</f>
        <v>0:00</v>
      </c>
      <c r="L29" s="54" t="str">
        <f t="shared" si="3"/>
        <v>0</v>
      </c>
      <c r="M29" s="58" t="str">
        <f t="shared" si="4"/>
        <v>0</v>
      </c>
      <c r="N29" s="51" t="str">
        <f t="shared" si="5"/>
        <v>00</v>
      </c>
      <c r="O29" s="57">
        <f t="shared" si="6"/>
        <v>0</v>
      </c>
      <c r="P29" s="6">
        <f t="shared" si="7"/>
        <v>0</v>
      </c>
      <c r="Q29" s="63"/>
    </row>
    <row r="30" spans="1:21" ht="15.75" x14ac:dyDescent="0.25">
      <c r="A30" s="12">
        <f t="shared" si="1"/>
        <v>12</v>
      </c>
      <c r="B30" s="13">
        <f t="shared" si="8"/>
        <v>45375</v>
      </c>
      <c r="C30" s="14" t="str" cm="1">
        <f t="array" ref="C30">_xlfn.SWITCH(WEEKDAY($D30, 2), 1, "mandag", 2, "tirsdag", 3, "onsdag", 4, "torsdag", 5, "fredag", 6, "lørdag", 7, "søndag")</f>
        <v>søndag</v>
      </c>
      <c r="D30">
        <f t="shared" si="0"/>
        <v>8</v>
      </c>
      <c r="E30" s="42">
        <f t="shared" si="2"/>
        <v>45375</v>
      </c>
      <c r="F30" s="15" t="s">
        <v>21</v>
      </c>
      <c r="G30" s="17" cm="1">
        <f t="array" ref="G30">IFERROR(IF(OR(AND(Masterdata!$B$4&lt;&gt;DATE(1900,1,0), Masterdata!$B$4&lt;$E30), AND(Masterdata!$B$3&lt;&gt;DATE(1900,1,0), Masterdata!$B$3&gt;$E30)), IF($H30&gt;TIME(0,0,0), "tast i næste felt", 0), IF($H30&gt;TIME(0,0,0), "Tast i næste felt", IF($H30&gt;0, 0, _xlfn.IFS($C30="lørdag", 0, $C30="søndag", 0, $F30="N", $V$8)))), "Tast i næste felt")</f>
        <v>0</v>
      </c>
      <c r="H30" s="17">
        <v>0</v>
      </c>
      <c r="I30" s="16">
        <v>0</v>
      </c>
      <c r="J30" s="16">
        <v>0</v>
      </c>
      <c r="K30" s="50" t="str">
        <f>IF(OR(AND(Masterdata!$B$4&lt;&gt;DATE(1900,1,0),Masterdata!$B$4&lt;$E30),AND(Masterdata!$B$3&lt;&gt;DATE(1900,1,0),Masterdata!$B$3&gt;$E30)), "0:00", IF($H30&gt;TIME(0,0,0), IF($H30-$V$8&gt;=0, TEXT($H30-$V$8, "[t]:mm"), "-"&amp;TEXT(ABS($H30-$V$8), "[t]:mm")), IFERROR(IF($G30-$V$8=0, IF($G30-$V$8&gt;=0, TEXT($G30-$V$8, "[t]:mm"), "-"&amp;TEXT(ABS($G30-$V$8), "[t]:mm")), IF($J30-$I30&gt;=0, TEXT($J30-$I30, "[t]:mm"), "-"&amp;TEXT(ABS($J30-$I30), "[t]:mm"))), IF($J30-$I30-$V$8&gt;=0, TEXT($J30-$I30-$V$8, "[t]:mm"), "-"&amp;TEXT(ABS($J30-$I30-$V$8), "[t]:mm")))))</f>
        <v>0:00</v>
      </c>
      <c r="L30" s="54" t="str">
        <f t="shared" si="3"/>
        <v>0</v>
      </c>
      <c r="M30" s="58" t="str">
        <f t="shared" si="4"/>
        <v>0</v>
      </c>
      <c r="N30" s="51" t="str">
        <f t="shared" si="5"/>
        <v>00</v>
      </c>
      <c r="O30" s="57">
        <f t="shared" si="6"/>
        <v>0</v>
      </c>
      <c r="P30" s="6">
        <f t="shared" si="7"/>
        <v>0</v>
      </c>
      <c r="Q30" s="63"/>
    </row>
    <row r="31" spans="1:21" ht="15.75" x14ac:dyDescent="0.25">
      <c r="A31" s="12">
        <f t="shared" si="1"/>
        <v>13</v>
      </c>
      <c r="B31" s="13">
        <f t="shared" si="8"/>
        <v>45376</v>
      </c>
      <c r="C31" s="14" t="str" cm="1">
        <f t="array" ref="C31">_xlfn.SWITCH(WEEKDAY($D31, 2), 1, "mandag", 2, "tirsdag", 3, "onsdag", 4, "torsdag", 5, "fredag", 6, "lørdag", 7, "søndag")</f>
        <v>mandag</v>
      </c>
      <c r="D31">
        <f t="shared" si="0"/>
        <v>2</v>
      </c>
      <c r="E31" s="42">
        <f t="shared" si="2"/>
        <v>45376</v>
      </c>
      <c r="F31" s="15" t="s">
        <v>21</v>
      </c>
      <c r="G31" s="17" cm="1">
        <f t="array" ref="G31">IFERROR(IF(OR(AND(Masterdata!$B$4&lt;&gt;DATE(1900,1,0), Masterdata!$B$4&lt;$E31), AND(Masterdata!$B$3&lt;&gt;DATE(1900,1,0), Masterdata!$B$3&gt;$E31)), IF($H31&gt;TIME(0,0,0), "tast i næste felt", 0), IF($H31&gt;TIME(0,0,0), "Tast i næste felt", IF($H31&gt;0, 0, _xlfn.IFS($C31="lørdag", 0, $C31="søndag", 0, $F31="N", $V$8)))), "Tast i næste felt")</f>
        <v>0.30833333333333335</v>
      </c>
      <c r="H31" s="17">
        <v>0</v>
      </c>
      <c r="I31" s="16">
        <v>0</v>
      </c>
      <c r="J31" s="16">
        <v>0</v>
      </c>
      <c r="K31" s="50" t="str">
        <f>IF(OR(AND(Masterdata!$B$4&lt;&gt;DATE(1900,1,0),Masterdata!$B$4&lt;$E31),AND(Masterdata!$B$3&lt;&gt;DATE(1900,1,0),Masterdata!$B$3&gt;$E31)), "0:00", IF($H31&gt;TIME(0,0,0), IF($H31-$V$8&gt;=0, TEXT($H31-$V$8, "[t]:mm"), "-"&amp;TEXT(ABS($H31-$V$8), "[t]:mm")), IFERROR(IF($G31-$V$8=0, IF($G31-$V$8&gt;=0, TEXT($G31-$V$8, "[t]:mm"), "-"&amp;TEXT(ABS($G31-$V$8), "[t]:mm")), IF($J31-$I31&gt;=0, TEXT($J31-$I31, "[t]:mm"), "-"&amp;TEXT(ABS($J31-$I31), "[t]:mm"))), IF($J31-$I31-$V$8&gt;=0, TEXT($J31-$I31-$V$8, "[t]:mm"), "-"&amp;TEXT(ABS($J31-$I31-$V$8), "[t]:mm")))))</f>
        <v>0:00</v>
      </c>
      <c r="L31" s="54" t="str">
        <f t="shared" si="3"/>
        <v>0</v>
      </c>
      <c r="M31" s="58" t="str">
        <f t="shared" si="4"/>
        <v>0</v>
      </c>
      <c r="N31" s="51" t="str">
        <f t="shared" si="5"/>
        <v>00</v>
      </c>
      <c r="O31" s="57">
        <f t="shared" si="6"/>
        <v>0</v>
      </c>
      <c r="P31" s="6">
        <f t="shared" si="7"/>
        <v>0</v>
      </c>
      <c r="Q31" s="63"/>
    </row>
    <row r="32" spans="1:21" ht="15.75" x14ac:dyDescent="0.25">
      <c r="A32" s="12">
        <f t="shared" si="1"/>
        <v>13</v>
      </c>
      <c r="B32" s="13">
        <f t="shared" si="8"/>
        <v>45377</v>
      </c>
      <c r="C32" s="14" t="str" cm="1">
        <f t="array" ref="C32">_xlfn.SWITCH(WEEKDAY($D32, 2), 1, "mandag", 2, "tirsdag", 3, "onsdag", 4, "torsdag", 5, "fredag", 6, "lørdag", 7, "søndag")</f>
        <v>tirsdag</v>
      </c>
      <c r="D32">
        <f t="shared" si="0"/>
        <v>3</v>
      </c>
      <c r="E32" s="42">
        <f t="shared" si="2"/>
        <v>45377</v>
      </c>
      <c r="F32" s="15" t="s">
        <v>21</v>
      </c>
      <c r="G32" s="17" cm="1">
        <f t="array" ref="G32">IFERROR(IF(OR(AND(Masterdata!$B$4&lt;&gt;DATE(1900,1,0), Masterdata!$B$4&lt;$E32), AND(Masterdata!$B$3&lt;&gt;DATE(1900,1,0), Masterdata!$B$3&gt;$E32)), IF($H32&gt;TIME(0,0,0), "tast i næste felt", 0), IF($H32&gt;TIME(0,0,0), "Tast i næste felt", IF($H32&gt;0, 0, _xlfn.IFS($C32="lørdag", 0, $C32="søndag", 0, $F32="N", $V$8)))), "Tast i næste felt")</f>
        <v>0.30833333333333335</v>
      </c>
      <c r="H32" s="17">
        <v>0</v>
      </c>
      <c r="I32" s="16">
        <v>0</v>
      </c>
      <c r="J32" s="16">
        <v>0</v>
      </c>
      <c r="K32" s="50" t="str">
        <f>IF(OR(AND(Masterdata!$B$4&lt;&gt;DATE(1900,1,0),Masterdata!$B$4&lt;$E32),AND(Masterdata!$B$3&lt;&gt;DATE(1900,1,0),Masterdata!$B$3&gt;$E32)), "0:00", IF($H32&gt;TIME(0,0,0), IF($H32-$V$8&gt;=0, TEXT($H32-$V$8, "[t]:mm"), "-"&amp;TEXT(ABS($H32-$V$8), "[t]:mm")), IFERROR(IF($G32-$V$8=0, IF($G32-$V$8&gt;=0, TEXT($G32-$V$8, "[t]:mm"), "-"&amp;TEXT(ABS($G32-$V$8), "[t]:mm")), IF($J32-$I32&gt;=0, TEXT($J32-$I32, "[t]:mm"), "-"&amp;TEXT(ABS($J32-$I32), "[t]:mm"))), IF($J32-$I32-$V$8&gt;=0, TEXT($J32-$I32-$V$8, "[t]:mm"), "-"&amp;TEXT(ABS($J32-$I32-$V$8), "[t]:mm")))))</f>
        <v>0:00</v>
      </c>
      <c r="L32" s="54" t="str">
        <f t="shared" si="3"/>
        <v>0</v>
      </c>
      <c r="M32" s="58" t="str">
        <f t="shared" si="4"/>
        <v>0</v>
      </c>
      <c r="N32" s="51" t="str">
        <f t="shared" si="5"/>
        <v>00</v>
      </c>
      <c r="O32" s="57">
        <f t="shared" si="6"/>
        <v>0</v>
      </c>
      <c r="P32" s="6">
        <f t="shared" si="7"/>
        <v>0</v>
      </c>
      <c r="Q32" s="63"/>
    </row>
    <row r="33" spans="1:17" ht="15.75" x14ac:dyDescent="0.25">
      <c r="A33" s="12">
        <f t="shared" si="1"/>
        <v>13</v>
      </c>
      <c r="B33" s="13">
        <f t="shared" si="8"/>
        <v>45378</v>
      </c>
      <c r="C33" s="14" t="str" cm="1">
        <f t="array" ref="C33">_xlfn.SWITCH(WEEKDAY($D33, 2), 1, "mandag", 2, "tirsdag", 3, "onsdag", 4, "torsdag", 5, "fredag", 6, "lørdag", 7, "søndag")</f>
        <v>onsdag</v>
      </c>
      <c r="D33">
        <f t="shared" si="0"/>
        <v>4</v>
      </c>
      <c r="E33" s="42">
        <f t="shared" si="2"/>
        <v>45378</v>
      </c>
      <c r="F33" s="15" t="s">
        <v>21</v>
      </c>
      <c r="G33" s="17" cm="1">
        <f t="array" ref="G33">IFERROR(IF(OR(AND(Masterdata!$B$4&lt;&gt;DATE(1900,1,0), Masterdata!$B$4&lt;$E33), AND(Masterdata!$B$3&lt;&gt;DATE(1900,1,0), Masterdata!$B$3&gt;$E33)), IF($H33&gt;TIME(0,0,0), "tast i næste felt", 0), IF($H33&gt;TIME(0,0,0), "Tast i næste felt", IF($H33&gt;0, 0, _xlfn.IFS($C33="lørdag", 0, $C33="søndag", 0, $F33="N", $V$8)))), "Tast i næste felt")</f>
        <v>0.30833333333333335</v>
      </c>
      <c r="H33" s="17">
        <v>0</v>
      </c>
      <c r="I33" s="16">
        <v>0</v>
      </c>
      <c r="J33" s="16">
        <v>0</v>
      </c>
      <c r="K33" s="50" t="str">
        <f>IF(OR(AND(Masterdata!$B$4&lt;&gt;DATE(1900,1,0),Masterdata!$B$4&lt;$E33),AND(Masterdata!$B$3&lt;&gt;DATE(1900,1,0),Masterdata!$B$3&gt;$E33)), "0:00", IF($H33&gt;TIME(0,0,0), IF($H33-$V$8&gt;=0, TEXT($H33-$V$8, "[t]:mm"), "-"&amp;TEXT(ABS($H33-$V$8), "[t]:mm")), IFERROR(IF($G33-$V$8=0, IF($G33-$V$8&gt;=0, TEXT($G33-$V$8, "[t]:mm"), "-"&amp;TEXT(ABS($G33-$V$8), "[t]:mm")), IF($J33-$I33&gt;=0, TEXT($J33-$I33, "[t]:mm"), "-"&amp;TEXT(ABS($J33-$I33), "[t]:mm"))), IF($J33-$I33-$V$8&gt;=0, TEXT($J33-$I33-$V$8, "[t]:mm"), "-"&amp;TEXT(ABS($J33-$I33-$V$8), "[t]:mm")))))</f>
        <v>0:00</v>
      </c>
      <c r="L33" s="54" t="str">
        <f t="shared" si="3"/>
        <v>0</v>
      </c>
      <c r="M33" s="58" t="str">
        <f t="shared" si="4"/>
        <v>0</v>
      </c>
      <c r="N33" s="51" t="str">
        <f t="shared" si="5"/>
        <v>00</v>
      </c>
      <c r="O33" s="57">
        <f t="shared" si="6"/>
        <v>0</v>
      </c>
      <c r="P33" s="6">
        <f t="shared" si="7"/>
        <v>0</v>
      </c>
      <c r="Q33" s="63"/>
    </row>
    <row r="34" spans="1:17" ht="15.75" x14ac:dyDescent="0.25">
      <c r="A34" s="12">
        <f t="shared" si="1"/>
        <v>13</v>
      </c>
      <c r="B34" s="13">
        <f t="shared" si="8"/>
        <v>45379</v>
      </c>
      <c r="C34" s="14" t="str" cm="1">
        <f t="array" ref="C34">_xlfn.SWITCH(WEEKDAY($D34, 2), 1, "mandag", 2, "tirsdag", 3, "onsdag", 4, "torsdag", 5, "fredag", 6, "lørdag", 7, "søndag")</f>
        <v>torsdag</v>
      </c>
      <c r="D34">
        <f t="shared" si="0"/>
        <v>5</v>
      </c>
      <c r="E34" s="42">
        <f t="shared" si="2"/>
        <v>45379</v>
      </c>
      <c r="F34" s="15" t="s">
        <v>21</v>
      </c>
      <c r="G34" s="17" cm="1">
        <f t="array" ref="G34">IFERROR(IF(OR(AND(Masterdata!$B$4&lt;&gt;DATE(1900,1,0), Masterdata!$B$4&lt;$E34), AND(Masterdata!$B$3&lt;&gt;DATE(1900,1,0), Masterdata!$B$3&gt;$E34)), IF($H34&gt;TIME(0,0,0), "tast i næste felt", 0), IF($H34&gt;TIME(0,0,0), "Tast i næste felt", IF($H34&gt;0, 0, _xlfn.IFS($C34="lørdag", 0, $C34="søndag", 0, $F34="N", $V$8)))), "Tast i næste felt")</f>
        <v>0.30833333333333335</v>
      </c>
      <c r="H34" s="17">
        <v>0</v>
      </c>
      <c r="I34" s="16">
        <v>0</v>
      </c>
      <c r="J34" s="16">
        <v>0</v>
      </c>
      <c r="K34" s="50" t="str">
        <f>IF(OR(AND(Masterdata!$B$4&lt;&gt;DATE(1900,1,0),Masterdata!$B$4&lt;$E34),AND(Masterdata!$B$3&lt;&gt;DATE(1900,1,0),Masterdata!$B$3&gt;$E34)), "0:00", IF($H34&gt;TIME(0,0,0), IF($H34-$V$8&gt;=0, TEXT($H34-$V$8, "[t]:mm"), "-"&amp;TEXT(ABS($H34-$V$8), "[t]:mm")), IFERROR(IF($G34-$V$8=0, IF($G34-$V$8&gt;=0, TEXT($G34-$V$8, "[t]:mm"), "-"&amp;TEXT(ABS($G34-$V$8), "[t]:mm")), IF($J34-$I34&gt;=0, TEXT($J34-$I34, "[t]:mm"), "-"&amp;TEXT(ABS($J34-$I34), "[t]:mm"))), IF($J34-$I34-$V$8&gt;=0, TEXT($J34-$I34-$V$8, "[t]:mm"), "-"&amp;TEXT(ABS($J34-$I34-$V$8), "[t]:mm")))))</f>
        <v>0:00</v>
      </c>
      <c r="L34" s="54" t="str">
        <f t="shared" si="3"/>
        <v>0</v>
      </c>
      <c r="M34" s="58" t="str">
        <f t="shared" si="4"/>
        <v>0</v>
      </c>
      <c r="N34" s="51" t="str">
        <f t="shared" si="5"/>
        <v>00</v>
      </c>
      <c r="O34" s="57">
        <f t="shared" si="6"/>
        <v>0</v>
      </c>
      <c r="P34" s="6">
        <f t="shared" si="7"/>
        <v>0</v>
      </c>
      <c r="Q34" s="63"/>
    </row>
    <row r="35" spans="1:17" ht="15.75" x14ac:dyDescent="0.25">
      <c r="A35" s="12">
        <f t="shared" si="1"/>
        <v>13</v>
      </c>
      <c r="B35" s="13">
        <f t="shared" si="8"/>
        <v>45380</v>
      </c>
      <c r="C35" s="14" t="str" cm="1">
        <f t="array" ref="C35">_xlfn.SWITCH(WEEKDAY($D35, 2), 1, "mandag", 2, "tirsdag", 3, "onsdag", 4, "torsdag", 5, "fredag", 6, "lørdag", 7, "søndag")</f>
        <v>fredag</v>
      </c>
      <c r="D35">
        <f t="shared" si="0"/>
        <v>6</v>
      </c>
      <c r="E35" s="42">
        <f t="shared" si="2"/>
        <v>45380</v>
      </c>
      <c r="F35" s="15" t="s">
        <v>21</v>
      </c>
      <c r="G35" s="17" cm="1">
        <f t="array" ref="G35">IFERROR(IF(OR(AND(Masterdata!$B$4&lt;&gt;DATE(1900,1,0), Masterdata!$B$4&lt;$E35), AND(Masterdata!$B$3&lt;&gt;DATE(1900,1,0), Masterdata!$B$3&gt;$E35)), IF($H35&gt;TIME(0,0,0), "tast i næste felt", 0), IF($H35&gt;TIME(0,0,0), "Tast i næste felt", IF($H35&gt;0, 0, _xlfn.IFS($C35="lørdag", 0, $C35="søndag", 0, $F35="N", $V$8)))), "Tast i næste felt")</f>
        <v>0.30833333333333335</v>
      </c>
      <c r="H35" s="17">
        <v>0</v>
      </c>
      <c r="I35" s="16">
        <v>0</v>
      </c>
      <c r="J35" s="16">
        <v>0</v>
      </c>
      <c r="K35" s="50" t="str">
        <f>IF(OR(AND(Masterdata!$B$4&lt;&gt;DATE(1900,1,0),Masterdata!$B$4&lt;$E35),AND(Masterdata!$B$3&lt;&gt;DATE(1900,1,0),Masterdata!$B$3&gt;$E35)), "0:00", IF($H35&gt;TIME(0,0,0), IF($H35-$V$8&gt;=0, TEXT($H35-$V$8, "[t]:mm"), "-"&amp;TEXT(ABS($H35-$V$8), "[t]:mm")), IFERROR(IF($G35-$V$8=0, IF($G35-$V$8&gt;=0, TEXT($G35-$V$8, "[t]:mm"), "-"&amp;TEXT(ABS($G35-$V$8), "[t]:mm")), IF($J35-$I35&gt;=0, TEXT($J35-$I35, "[t]:mm"), "-"&amp;TEXT(ABS($J35-$I35), "[t]:mm"))), IF($J35-$I35-$V$8&gt;=0, TEXT($J35-$I35-$V$8, "[t]:mm"), "-"&amp;TEXT(ABS($J35-$I35-$V$8), "[t]:mm")))))</f>
        <v>0:00</v>
      </c>
      <c r="L35" s="54" t="str">
        <f t="shared" si="3"/>
        <v>0</v>
      </c>
      <c r="M35" s="58" t="str">
        <f t="shared" si="4"/>
        <v>0</v>
      </c>
      <c r="N35" s="51" t="str">
        <f t="shared" si="5"/>
        <v>00</v>
      </c>
      <c r="O35" s="57">
        <f t="shared" si="6"/>
        <v>0</v>
      </c>
      <c r="P35" s="6">
        <f t="shared" si="7"/>
        <v>0</v>
      </c>
      <c r="Q35" s="63"/>
    </row>
    <row r="36" spans="1:17" ht="15.75" x14ac:dyDescent="0.25">
      <c r="A36" s="12">
        <f t="shared" si="1"/>
        <v>13</v>
      </c>
      <c r="B36" s="13">
        <f t="shared" si="8"/>
        <v>45381</v>
      </c>
      <c r="C36" s="14" t="str" cm="1">
        <f t="array" ref="C36">_xlfn.SWITCH(WEEKDAY($D36, 2), 1, "mandag", 2, "tirsdag", 3, "onsdag", 4, "torsdag", 5, "fredag", 6, "lørdag", 7, "søndag")</f>
        <v>lørdag</v>
      </c>
      <c r="D36">
        <f t="shared" si="0"/>
        <v>7</v>
      </c>
      <c r="E36" s="42">
        <f t="shared" si="2"/>
        <v>45381</v>
      </c>
      <c r="F36" s="15" t="s">
        <v>21</v>
      </c>
      <c r="G36" s="17" cm="1">
        <f t="array" ref="G36">IFERROR(IF(OR(AND(Masterdata!$B$4&lt;&gt;DATE(1900,1,0), Masterdata!$B$4&lt;$E36), AND(Masterdata!$B$3&lt;&gt;DATE(1900,1,0), Masterdata!$B$3&gt;$E36)), IF($H36&gt;TIME(0,0,0), "tast i næste felt", 0), IF($H36&gt;TIME(0,0,0), "Tast i næste felt", IF($H36&gt;0, 0, _xlfn.IFS($C36="lørdag", 0, $C36="søndag", 0, $F36="N", $V$8)))), "Tast i næste felt")</f>
        <v>0</v>
      </c>
      <c r="H36" s="17">
        <v>0</v>
      </c>
      <c r="I36" s="16">
        <v>0</v>
      </c>
      <c r="J36" s="16">
        <v>0</v>
      </c>
      <c r="K36" s="50" t="str">
        <f>IF(OR(AND(Masterdata!$B$4&lt;&gt;DATE(1900,1,0),Masterdata!$B$4&lt;$E36),AND(Masterdata!$B$3&lt;&gt;DATE(1900,1,0),Masterdata!$B$3&gt;$E36)), "0:00", IF($H36&gt;TIME(0,0,0), IF($H36-$V$8&gt;=0, TEXT($H36-$V$8, "[t]:mm"), "-"&amp;TEXT(ABS($H36-$V$8), "[t]:mm")), IFERROR(IF($G36-$V$8=0, IF($G36-$V$8&gt;=0, TEXT($G36-$V$8, "[t]:mm"), "-"&amp;TEXT(ABS($G36-$V$8), "[t]:mm")), IF($J36-$I36&gt;=0, TEXT($J36-$I36, "[t]:mm"), "-"&amp;TEXT(ABS($J36-$I36), "[t]:mm"))), IF($J36-$I36-$V$8&gt;=0, TEXT($J36-$I36-$V$8, "[t]:mm"), "-"&amp;TEXT(ABS($J36-$I36-$V$8), "[t]:mm")))))</f>
        <v>0:00</v>
      </c>
      <c r="L36" s="54" t="str">
        <f t="shared" si="3"/>
        <v>0</v>
      </c>
      <c r="M36" s="58" t="str">
        <f t="shared" si="4"/>
        <v>0</v>
      </c>
      <c r="N36" s="51" t="str">
        <f t="shared" si="5"/>
        <v>00</v>
      </c>
      <c r="O36" s="57">
        <f t="shared" si="6"/>
        <v>0</v>
      </c>
      <c r="P36" s="6">
        <f t="shared" si="7"/>
        <v>0</v>
      </c>
      <c r="Q36" s="63"/>
    </row>
    <row r="37" spans="1:17" ht="15.75" x14ac:dyDescent="0.25">
      <c r="A37" s="12">
        <f t="shared" si="1"/>
        <v>13</v>
      </c>
      <c r="B37" s="13">
        <f t="shared" si="8"/>
        <v>45382</v>
      </c>
      <c r="C37" s="14" t="str" cm="1">
        <f t="array" ref="C37">_xlfn.SWITCH(WEEKDAY($D37, 2), 1, "mandag", 2, "tirsdag", 3, "onsdag", 4, "torsdag", 5, "fredag", 6, "lørdag", 7, "søndag")</f>
        <v>søndag</v>
      </c>
      <c r="D37">
        <f t="shared" si="0"/>
        <v>8</v>
      </c>
      <c r="E37" s="42">
        <f t="shared" si="2"/>
        <v>45382</v>
      </c>
      <c r="F37" s="15" t="s">
        <v>21</v>
      </c>
      <c r="G37" s="17" cm="1">
        <f t="array" ref="G37">IFERROR(IF(OR(AND(Masterdata!$B$4&lt;&gt;DATE(1900,1,0), Masterdata!$B$4&lt;$E37), AND(Masterdata!$B$3&lt;&gt;DATE(1900,1,0), Masterdata!$B$3&gt;$E37)), IF($H37&gt;TIME(0,0,0), "tast i næste felt", 0), IF($H37&gt;TIME(0,0,0), "Tast i næste felt", IF($H37&gt;0, 0, _xlfn.IFS($C37="lørdag", 0, $C37="søndag", 0, $F37="N", $V$8)))), "Tast i næste felt")</f>
        <v>0</v>
      </c>
      <c r="H37" s="17">
        <v>0</v>
      </c>
      <c r="I37" s="16">
        <v>0</v>
      </c>
      <c r="J37" s="16">
        <v>0</v>
      </c>
      <c r="K37" s="50" t="str">
        <f>IF(OR(AND(Masterdata!$B$4&lt;&gt;DATE(1900,1,0),Masterdata!$B$4&lt;$E37),AND(Masterdata!$B$3&lt;&gt;DATE(1900,1,0),Masterdata!$B$3&gt;$E37)), "0:00", IF($H37&gt;TIME(0,0,0), IF($H37-$V$8&gt;=0, TEXT($H37-$V$8, "[t]:mm"), "-"&amp;TEXT(ABS($H37-$V$8), "[t]:mm")), IFERROR(IF($G37-$V$8=0, IF($G37-$V$8&gt;=0, TEXT($G37-$V$8, "[t]:mm"), "-"&amp;TEXT(ABS($G37-$V$8), "[t]:mm")), IF($J37-$I37&gt;=0, TEXT($J37-$I37, "[t]:mm"), "-"&amp;TEXT(ABS($J37-$I37), "[t]:mm"))), IF($J37-$I37-$V$8&gt;=0, TEXT($J37-$I37-$V$8, "[t]:mm"), "-"&amp;TEXT(ABS($J37-$I37-$V$8), "[t]:mm")))))</f>
        <v>0:00</v>
      </c>
      <c r="L37" s="54" t="str">
        <f t="shared" si="3"/>
        <v>0</v>
      </c>
      <c r="M37" s="58" t="str">
        <f t="shared" si="4"/>
        <v>0</v>
      </c>
      <c r="N37" s="51" t="str">
        <f t="shared" si="5"/>
        <v>00</v>
      </c>
      <c r="O37" s="57">
        <f t="shared" si="6"/>
        <v>0</v>
      </c>
      <c r="P37" s="6">
        <f t="shared" si="7"/>
        <v>0</v>
      </c>
      <c r="Q37" s="63"/>
    </row>
    <row r="38" spans="1:17" x14ac:dyDescent="0.25">
      <c r="K38" s="8"/>
      <c r="P38" s="6"/>
    </row>
  </sheetData>
  <conditionalFormatting sqref="A7:J37">
    <cfRule type="expression" dxfId="46" priority="2">
      <formula>OR($C7="lørdag", $C7="søndag")</formula>
    </cfRule>
  </conditionalFormatting>
  <conditionalFormatting sqref="G7:G37">
    <cfRule type="expression" dxfId="45" priority="4">
      <formula>AND($F7="N", NOT(OR($C7="lørdag", $C7="søndag")))</formula>
    </cfRule>
  </conditionalFormatting>
  <conditionalFormatting sqref="H7:J37">
    <cfRule type="expression" dxfId="44" priority="1">
      <formula>OR($F7="N")</formula>
    </cfRule>
    <cfRule type="expression" dxfId="43" priority="3">
      <formula>$F7="R"</formula>
    </cfRule>
  </conditionalFormatting>
  <dataValidations count="1">
    <dataValidation type="list" allowBlank="1" showInputMessage="1" showErrorMessage="1" sqref="F7:F37" xr:uid="{D24856AB-B495-449D-91A0-A1187A102C16}">
      <formula1>$Q$2:$Q$3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83891-8929-4501-8CC5-B59A86945C1C}">
  <dimension ref="A1:X37"/>
  <sheetViews>
    <sheetView zoomScale="70" zoomScaleNormal="70" workbookViewId="0">
      <selection activeCell="G7" sqref="G7"/>
    </sheetView>
  </sheetViews>
  <sheetFormatPr defaultRowHeight="15" outlineLevelCol="1" x14ac:dyDescent="0.25"/>
  <cols>
    <col min="1" max="1" width="11.28515625" customWidth="1"/>
    <col min="2" max="2" width="14.140625" customWidth="1"/>
    <col min="3" max="3" width="11.28515625" customWidth="1"/>
    <col min="4" max="4" width="15" hidden="1" customWidth="1"/>
    <col min="5" max="5" width="12.85546875" hidden="1" customWidth="1"/>
    <col min="6" max="6" width="11.28515625" customWidth="1"/>
    <col min="7" max="7" width="16.28515625" bestFit="1" customWidth="1"/>
    <col min="8" max="8" width="17.85546875" customWidth="1"/>
    <col min="9" max="11" width="11.28515625" customWidth="1"/>
    <col min="12" max="13" width="11.140625" hidden="1" customWidth="1" outlineLevel="1"/>
    <col min="14" max="14" width="90.7109375" hidden="1" customWidth="1" outlineLevel="1"/>
    <col min="15" max="15" width="27.28515625" hidden="1" customWidth="1" outlineLevel="1"/>
    <col min="16" max="16" width="12" hidden="1" customWidth="1" outlineLevel="1"/>
    <col min="17" max="17" width="14.14062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36" t="s">
        <v>18</v>
      </c>
      <c r="B1" s="37">
        <v>37</v>
      </c>
      <c r="Q1" s="45" t="s">
        <v>19</v>
      </c>
      <c r="R1" s="46" t="s">
        <v>20</v>
      </c>
    </row>
    <row r="2" spans="1:24" ht="31.5" x14ac:dyDescent="0.25">
      <c r="A2" s="34" t="s">
        <v>4</v>
      </c>
      <c r="B2" s="59">
        <f>SUM(P7:P36)</f>
        <v>0</v>
      </c>
      <c r="Q2" s="47" t="s">
        <v>21</v>
      </c>
      <c r="R2" s="49" t="s">
        <v>22</v>
      </c>
    </row>
    <row r="3" spans="1:24" ht="63" x14ac:dyDescent="0.25">
      <c r="A3" s="39" t="s">
        <v>0</v>
      </c>
      <c r="B3" s="40">
        <f>B7</f>
        <v>45383</v>
      </c>
      <c r="Q3" s="48" t="s">
        <v>23</v>
      </c>
      <c r="R3" s="61" t="s">
        <v>24</v>
      </c>
    </row>
    <row r="4" spans="1:24" ht="16.5" thickBot="1" x14ac:dyDescent="0.3">
      <c r="A4" s="35" t="s">
        <v>17</v>
      </c>
      <c r="B4" s="41">
        <f>B7</f>
        <v>45383</v>
      </c>
      <c r="Q4" s="44" t="s">
        <v>25</v>
      </c>
      <c r="R4" s="43" t="s">
        <v>26</v>
      </c>
    </row>
    <row r="5" spans="1:24" ht="15.75" thickBot="1" x14ac:dyDescent="0.3"/>
    <row r="6" spans="1:24" ht="21.75" customHeight="1" thickBot="1" x14ac:dyDescent="0.3">
      <c r="A6" s="9" t="s">
        <v>27</v>
      </c>
      <c r="B6" s="10" t="s">
        <v>28</v>
      </c>
      <c r="C6" s="10" t="s">
        <v>29</v>
      </c>
      <c r="D6" s="10" t="s">
        <v>30</v>
      </c>
      <c r="E6" s="10" t="s">
        <v>31</v>
      </c>
      <c r="F6" s="10" t="s">
        <v>19</v>
      </c>
      <c r="G6" s="10" t="s">
        <v>32</v>
      </c>
      <c r="H6" s="10" t="s">
        <v>33</v>
      </c>
      <c r="I6" s="11" t="s">
        <v>34</v>
      </c>
      <c r="J6" s="11" t="s">
        <v>35</v>
      </c>
      <c r="K6" s="10" t="s">
        <v>36</v>
      </c>
      <c r="L6" s="55" t="s">
        <v>37</v>
      </c>
      <c r="M6" s="56" t="s">
        <v>38</v>
      </c>
      <c r="N6" s="56" t="s">
        <v>39</v>
      </c>
      <c r="O6" s="56"/>
      <c r="Q6" s="10" t="s">
        <v>40</v>
      </c>
      <c r="U6" t="s">
        <v>41</v>
      </c>
      <c r="V6">
        <v>5</v>
      </c>
    </row>
    <row r="7" spans="1:24" ht="15.75" x14ac:dyDescent="0.25">
      <c r="A7" s="12">
        <f>WEEKNUM($B7,21)</f>
        <v>14</v>
      </c>
      <c r="B7" s="13">
        <f>DATE(Masterdata!$B$5,4,1)</f>
        <v>45383</v>
      </c>
      <c r="C7" s="14" t="str" cm="1">
        <f t="array" ref="C7">_xlfn.SWITCH(WEEKDAY($D7, 2), 1, "mandag", 2, "tirsdag", 3, "onsdag", 4, "torsdag", 5, "fredag", 6, "lørdag", 7, "søndag")</f>
        <v>mandag</v>
      </c>
      <c r="D7">
        <f t="shared" ref="D7:D36" si="0">WEEKDAY($B7, 2)+1</f>
        <v>2</v>
      </c>
      <c r="E7" s="42">
        <f>$B7</f>
        <v>45383</v>
      </c>
      <c r="F7" s="15" t="s">
        <v>21</v>
      </c>
      <c r="G7" s="17" cm="1">
        <f t="array" ref="G7">IFERROR(IF(OR(AND(Masterdata!$B$4&lt;&gt;DATE(1900,1,0), Masterdata!$B$4&lt;$E7), AND(Masterdata!$B$3&lt;&gt;DATE(1900,1,0), Masterdata!$B$3&gt;$E7)), IF($H7&gt;TIME(0,0,0), "tast i næste felt", 0), IF($H7&gt;TIME(0,0,0), "Tast i næste felt", IF($H7&gt;0, 0, _xlfn.IFS($C7="lørdag", 0, $C7="søndag", 0, $F7="N", $V$8)))), "Tast i næste felt")</f>
        <v>0.30833333333333335</v>
      </c>
      <c r="H7" s="17">
        <v>0</v>
      </c>
      <c r="I7" s="16">
        <v>0</v>
      </c>
      <c r="J7" s="16">
        <v>0</v>
      </c>
      <c r="K7" s="60" t="str">
        <f>IF(OR(AND(Masterdata!$B$4&lt;&gt;DATE(1900,1,0),Masterdata!$B$4&lt;$E7),AND(Masterdata!$B$3&lt;&gt;DATE(1900,1,0),Masterdata!$B$3&gt;$E7)), "0:00", IF($H7&gt;TIME(0,0,0), IF($H7-$V$8&gt;=0, TEXT($H7-$V$8, "[t]:mm"), "-"&amp;TEXT(ABS($H7-$V$8), "[t]:mm")), IFERROR(IF($G7-$V$8=0, IF($G7-$V$8&gt;=0, TEXT($G7-$V$8, "[t]:mm"), "-"&amp;TEXT(ABS($G7-$V$8), "[t]:mm")), IF($J7-$I7&gt;=0, TEXT($J7-$I7, "[t]:mm"), "-"&amp;TEXT(ABS($J7-$I7), "[t]:mm"))), IF($J7-$I7-$V$8&gt;=0, TEXT($J7-$I7-$V$8, "[t]:mm"), "-"&amp;TEXT(ABS($J7-$I7-$V$8), "[t]:mm")))))</f>
        <v>0:00</v>
      </c>
      <c r="L7" s="54" t="str">
        <f>LEFT(K7,1)</f>
        <v>0</v>
      </c>
      <c r="M7" s="58" t="str">
        <f>IF($L7="-",LEFT($K7,2),LEFT($K7,1))</f>
        <v>0</v>
      </c>
      <c r="N7" s="51" t="str">
        <f>IF($L7="-",MID($K7,4,2),MID($K7,3,2))</f>
        <v>00</v>
      </c>
      <c r="O7" s="57">
        <f>N7/60</f>
        <v>0</v>
      </c>
      <c r="P7" s="6">
        <f>IF(L7="-",M7-O7,M7+O7)</f>
        <v>0</v>
      </c>
      <c r="Q7" s="62"/>
      <c r="R7" s="53"/>
      <c r="U7" t="s">
        <v>42</v>
      </c>
      <c r="V7" s="3">
        <f>B1/V6</f>
        <v>7.4</v>
      </c>
      <c r="W7">
        <v>0</v>
      </c>
      <c r="X7" s="8"/>
    </row>
    <row r="8" spans="1:24" ht="15.75" x14ac:dyDescent="0.25">
      <c r="A8" s="12">
        <f t="shared" ref="A8:A36" si="1">WEEKNUM($B8,21)</f>
        <v>14</v>
      </c>
      <c r="B8" s="13">
        <f>B7+1</f>
        <v>45384</v>
      </c>
      <c r="C8" s="14" t="str" cm="1">
        <f t="array" ref="C8">_xlfn.SWITCH(WEEKDAY($D8, 2), 1, "mandag", 2, "tirsdag", 3, "onsdag", 4, "torsdag", 5, "fredag", 6, "lørdag", 7, "søndag")</f>
        <v>tirsdag</v>
      </c>
      <c r="D8">
        <f t="shared" si="0"/>
        <v>3</v>
      </c>
      <c r="E8" s="42">
        <f t="shared" ref="E8:E36" si="2">$B8</f>
        <v>45384</v>
      </c>
      <c r="F8" s="15" t="s">
        <v>21</v>
      </c>
      <c r="G8" s="17" cm="1">
        <f t="array" ref="G8">IFERROR(IF(OR(AND(Masterdata!$B$4&lt;&gt;DATE(1900,1,0), Masterdata!$B$4&lt;$E8), AND(Masterdata!$B$3&lt;&gt;DATE(1900,1,0), Masterdata!$B$3&gt;$E8)), IF($H8&gt;TIME(0,0,0), "tast i næste felt", 0), IF($H8&gt;TIME(0,0,0), "Tast i næste felt", IF($H8&gt;0, 0, _xlfn.IFS($C8="lørdag", 0, $C8="søndag", 0, $F8="N", $V$8)))), "Tast i næste felt")</f>
        <v>0.30833333333333335</v>
      </c>
      <c r="H8" s="17">
        <v>0</v>
      </c>
      <c r="I8" s="16">
        <v>0</v>
      </c>
      <c r="J8" s="16">
        <v>0</v>
      </c>
      <c r="K8" s="50" t="str">
        <f>IF(OR(AND(Masterdata!$B$4&lt;&gt;DATE(1900,1,0),Masterdata!$B$4&lt;$E8),AND(Masterdata!$B$3&lt;&gt;DATE(1900,1,0),Masterdata!$B$3&gt;$E8)), "0:00", IF($H8&gt;TIME(0,0,0), IF($H8-$V$8&gt;=0, TEXT($H8-$V$8, "[t]:mm"), "-"&amp;TEXT(ABS($H8-$V$8), "[t]:mm")), IFERROR(IF($G8-$V$8=0, IF($G8-$V$8&gt;=0, TEXT($G8-$V$8, "[t]:mm"), "-"&amp;TEXT(ABS($G8-$V$8), "[t]:mm")), IF($J8-$I8&gt;=0, TEXT($J8-$I8, "[t]:mm"), "-"&amp;TEXT(ABS($J8-$I8), "[t]:mm"))), IF($J8-$I8-$V$8&gt;=0, TEXT($J8-$I8-$V$8, "[t]:mm"), "-"&amp;TEXT(ABS($J8-$I8-$V$8), "[t]:mm")))))</f>
        <v>0:00</v>
      </c>
      <c r="L8" s="54" t="str">
        <f t="shared" ref="L8:L36" si="3">LEFT(K8,1)</f>
        <v>0</v>
      </c>
      <c r="M8" s="58" t="str">
        <f t="shared" ref="M8:M36" si="4">IF($L8="-",LEFT($K8,2),LEFT($K8,1))</f>
        <v>0</v>
      </c>
      <c r="N8" s="51" t="str">
        <f t="shared" ref="N8:N36" si="5">IF($L8="-",MID($K8,4,2),MID($K8,3,2))</f>
        <v>00</v>
      </c>
      <c r="O8" s="57">
        <f t="shared" ref="O8:O36" si="6">N8/60</f>
        <v>0</v>
      </c>
      <c r="P8" s="6">
        <f t="shared" ref="P8:P36" si="7">IF(L8="-",M8-O8,M8+O8)</f>
        <v>0</v>
      </c>
      <c r="Q8" s="63"/>
      <c r="U8" t="s">
        <v>43</v>
      </c>
      <c r="V8" s="8">
        <f>V7/24</f>
        <v>0.30833333333333335</v>
      </c>
    </row>
    <row r="9" spans="1:24" ht="15.75" x14ac:dyDescent="0.25">
      <c r="A9" s="12">
        <f t="shared" si="1"/>
        <v>14</v>
      </c>
      <c r="B9" s="13">
        <f t="shared" ref="B9:B36" si="8">B8+1</f>
        <v>45385</v>
      </c>
      <c r="C9" s="14" t="str" cm="1">
        <f t="array" ref="C9">_xlfn.SWITCH(WEEKDAY($D9, 2), 1, "mandag", 2, "tirsdag", 3, "onsdag", 4, "torsdag", 5, "fredag", 6, "lørdag", 7, "søndag")</f>
        <v>onsdag</v>
      </c>
      <c r="D9">
        <f t="shared" si="0"/>
        <v>4</v>
      </c>
      <c r="E9" s="42">
        <f t="shared" si="2"/>
        <v>45385</v>
      </c>
      <c r="F9" s="15" t="s">
        <v>21</v>
      </c>
      <c r="G9" s="17" cm="1">
        <f t="array" ref="G9">IFERROR(IF(OR(AND(Masterdata!$B$4&lt;&gt;DATE(1900,1,0), Masterdata!$B$4&lt;$E9), AND(Masterdata!$B$3&lt;&gt;DATE(1900,1,0), Masterdata!$B$3&gt;$E9)), IF($H9&gt;TIME(0,0,0), "tast i næste felt", 0), IF($H9&gt;TIME(0,0,0), "Tast i næste felt", IF($H9&gt;0, 0, _xlfn.IFS($C9="lørdag", 0, $C9="søndag", 0, $F9="N", $V$8)))), "Tast i næste felt")</f>
        <v>0.30833333333333335</v>
      </c>
      <c r="H9" s="17">
        <v>0</v>
      </c>
      <c r="I9" s="16">
        <v>0</v>
      </c>
      <c r="J9" s="16">
        <v>0</v>
      </c>
      <c r="K9" s="50" t="str">
        <f>IF(OR(AND(Masterdata!$B$4&lt;&gt;DATE(1900,1,0),Masterdata!$B$4&lt;$E9),AND(Masterdata!$B$3&lt;&gt;DATE(1900,1,0),Masterdata!$B$3&gt;$E9)), "0:00", IF($H9&gt;TIME(0,0,0), IF($H9-$V$8&gt;=0, TEXT($H9-$V$8, "[t]:mm"), "-"&amp;TEXT(ABS($H9-$V$8), "[t]:mm")), IFERROR(IF($G9-$V$8=0, IF($G9-$V$8&gt;=0, TEXT($G9-$V$8, "[t]:mm"), "-"&amp;TEXT(ABS($G9-$V$8), "[t]:mm")), IF($J9-$I9&gt;=0, TEXT($J9-$I9, "[t]:mm"), "-"&amp;TEXT(ABS($J9-$I9), "[t]:mm"))), IF($J9-$I9-$V$8&gt;=0, TEXT($J9-$I9-$V$8, "[t]:mm"), "-"&amp;TEXT(ABS($J9-$I9-$V$8), "[t]:mm")))))</f>
        <v>0:00</v>
      </c>
      <c r="L9" s="54" t="str">
        <f t="shared" si="3"/>
        <v>0</v>
      </c>
      <c r="M9" s="58" t="str">
        <f t="shared" si="4"/>
        <v>0</v>
      </c>
      <c r="N9" s="51" t="str">
        <f t="shared" si="5"/>
        <v>00</v>
      </c>
      <c r="O9" s="57">
        <f t="shared" si="6"/>
        <v>0</v>
      </c>
      <c r="P9" s="6">
        <f t="shared" si="7"/>
        <v>0</v>
      </c>
      <c r="Q9" s="63"/>
      <c r="S9" t="s">
        <v>21</v>
      </c>
      <c r="T9" t="s">
        <v>44</v>
      </c>
      <c r="U9" t="s">
        <v>45</v>
      </c>
      <c r="V9" s="6">
        <f>(B1/37)*160.33</f>
        <v>160.33000000000001</v>
      </c>
    </row>
    <row r="10" spans="1:24" ht="15.75" x14ac:dyDescent="0.25">
      <c r="A10" s="12">
        <f t="shared" si="1"/>
        <v>14</v>
      </c>
      <c r="B10" s="13">
        <f t="shared" si="8"/>
        <v>45386</v>
      </c>
      <c r="C10" s="14" t="str" cm="1">
        <f t="array" ref="C10">_xlfn.SWITCH(WEEKDAY($D10, 2), 1, "mandag", 2, "tirsdag", 3, "onsdag", 4, "torsdag", 5, "fredag", 6, "lørdag", 7, "søndag")</f>
        <v>torsdag</v>
      </c>
      <c r="D10">
        <f t="shared" si="0"/>
        <v>5</v>
      </c>
      <c r="E10" s="42">
        <f t="shared" si="2"/>
        <v>45386</v>
      </c>
      <c r="F10" s="15" t="s">
        <v>21</v>
      </c>
      <c r="G10" s="17" cm="1">
        <f t="array" ref="G10">IFERROR(IF(OR(AND(Masterdata!$B$4&lt;&gt;DATE(1900,1,0), Masterdata!$B$4&lt;$E10), AND(Masterdata!$B$3&lt;&gt;DATE(1900,1,0), Masterdata!$B$3&gt;$E10)), IF($H10&gt;TIME(0,0,0), "tast i næste felt", 0), IF($H10&gt;TIME(0,0,0), "Tast i næste felt", IF($H10&gt;0, 0, _xlfn.IFS($C10="lørdag", 0, $C10="søndag", 0, $F10="N", $V$8)))), "Tast i næste felt")</f>
        <v>0.30833333333333335</v>
      </c>
      <c r="H10" s="17">
        <v>0</v>
      </c>
      <c r="I10" s="16">
        <v>0</v>
      </c>
      <c r="J10" s="16">
        <v>0</v>
      </c>
      <c r="K10" s="50" t="str">
        <f>IF(OR(AND(Masterdata!$B$4&lt;&gt;DATE(1900,1,0),Masterdata!$B$4&lt;$E10),AND(Masterdata!$B$3&lt;&gt;DATE(1900,1,0),Masterdata!$B$3&gt;$E10)), "0:00", IF($H10&gt;TIME(0,0,0), IF($H10-$V$8&gt;=0, TEXT($H10-$V$8, "[t]:mm"), "-"&amp;TEXT(ABS($H10-$V$8), "[t]:mm")), IFERROR(IF($G10-$V$8=0, IF($G10-$V$8&gt;=0, TEXT($G10-$V$8, "[t]:mm"), "-"&amp;TEXT(ABS($G10-$V$8), "[t]:mm")), IF($J10-$I10&gt;=0, TEXT($J10-$I10, "[t]:mm"), "-"&amp;TEXT(ABS($J10-$I10), "[t]:mm"))), IF($J10-$I10-$V$8&gt;=0, TEXT($J10-$I10-$V$8, "[t]:mm"), "-"&amp;TEXT(ABS($J10-$I10-$V$8), "[t]:mm")))))</f>
        <v>0:00</v>
      </c>
      <c r="L10" s="54" t="str">
        <f t="shared" si="3"/>
        <v>0</v>
      </c>
      <c r="M10" s="58" t="str">
        <f t="shared" si="4"/>
        <v>0</v>
      </c>
      <c r="N10" s="51" t="str">
        <f t="shared" si="5"/>
        <v>00</v>
      </c>
      <c r="O10" s="57">
        <f t="shared" si="6"/>
        <v>0</v>
      </c>
      <c r="P10" s="6">
        <f t="shared" si="7"/>
        <v>0</v>
      </c>
      <c r="Q10" s="63"/>
    </row>
    <row r="11" spans="1:24" ht="15.75" x14ac:dyDescent="0.25">
      <c r="A11" s="12">
        <f t="shared" si="1"/>
        <v>14</v>
      </c>
      <c r="B11" s="13">
        <f t="shared" si="8"/>
        <v>45387</v>
      </c>
      <c r="C11" s="14" t="str" cm="1">
        <f t="array" ref="C11">_xlfn.SWITCH(WEEKDAY($D11, 2), 1, "mandag", 2, "tirsdag", 3, "onsdag", 4, "torsdag", 5, "fredag", 6, "lørdag", 7, "søndag")</f>
        <v>fredag</v>
      </c>
      <c r="D11">
        <f t="shared" si="0"/>
        <v>6</v>
      </c>
      <c r="E11" s="42">
        <f t="shared" si="2"/>
        <v>45387</v>
      </c>
      <c r="F11" s="15" t="s">
        <v>21</v>
      </c>
      <c r="G11" s="17" cm="1">
        <f t="array" ref="G11">IFERROR(IF(OR(AND(Masterdata!$B$4&lt;&gt;DATE(1900,1,0), Masterdata!$B$4&lt;$E11), AND(Masterdata!$B$3&lt;&gt;DATE(1900,1,0), Masterdata!$B$3&gt;$E11)), IF($H11&gt;TIME(0,0,0), "tast i næste felt", 0), IF($H11&gt;TIME(0,0,0), "Tast i næste felt", IF($H11&gt;0, 0, _xlfn.IFS($C11="lørdag", 0, $C11="søndag", 0, $F11="N", $V$8)))), "Tast i næste felt")</f>
        <v>0.30833333333333335</v>
      </c>
      <c r="H11" s="17">
        <v>0</v>
      </c>
      <c r="I11" s="16">
        <v>0</v>
      </c>
      <c r="J11" s="16">
        <v>0</v>
      </c>
      <c r="K11" s="50" t="str">
        <f>IF(OR(AND(Masterdata!$B$4&lt;&gt;DATE(1900,1,0),Masterdata!$B$4&lt;$E11),AND(Masterdata!$B$3&lt;&gt;DATE(1900,1,0),Masterdata!$B$3&gt;$E11)), "0:00", IF($H11&gt;TIME(0,0,0), IF($H11-$V$8&gt;=0, TEXT($H11-$V$8, "[t]:mm"), "-"&amp;TEXT(ABS($H11-$V$8), "[t]:mm")), IFERROR(IF($G11-$V$8=0, IF($G11-$V$8&gt;=0, TEXT($G11-$V$8, "[t]:mm"), "-"&amp;TEXT(ABS($G11-$V$8), "[t]:mm")), IF($J11-$I11&gt;=0, TEXT($J11-$I11, "[t]:mm"), "-"&amp;TEXT(ABS($J11-$I11), "[t]:mm"))), IF($J11-$I11-$V$8&gt;=0, TEXT($J11-$I11-$V$8, "[t]:mm"), "-"&amp;TEXT(ABS($J11-$I11-$V$8), "[t]:mm")))))</f>
        <v>0:00</v>
      </c>
      <c r="L11" s="54" t="str">
        <f t="shared" si="3"/>
        <v>0</v>
      </c>
      <c r="M11" s="58" t="str">
        <f t="shared" si="4"/>
        <v>0</v>
      </c>
      <c r="N11" s="51" t="str">
        <f t="shared" si="5"/>
        <v>00</v>
      </c>
      <c r="O11" s="57">
        <f t="shared" si="6"/>
        <v>0</v>
      </c>
      <c r="P11" s="6">
        <f t="shared" si="7"/>
        <v>0</v>
      </c>
      <c r="Q11" s="63"/>
      <c r="V11" s="6"/>
    </row>
    <row r="12" spans="1:24" ht="15.75" x14ac:dyDescent="0.25">
      <c r="A12" s="12">
        <f t="shared" si="1"/>
        <v>14</v>
      </c>
      <c r="B12" s="13">
        <f t="shared" si="8"/>
        <v>45388</v>
      </c>
      <c r="C12" s="14" t="str" cm="1">
        <f t="array" ref="C12">_xlfn.SWITCH(WEEKDAY($D12, 2), 1, "mandag", 2, "tirsdag", 3, "onsdag", 4, "torsdag", 5, "fredag", 6, "lørdag", 7, "søndag")</f>
        <v>lørdag</v>
      </c>
      <c r="D12">
        <f t="shared" si="0"/>
        <v>7</v>
      </c>
      <c r="E12" s="42">
        <f t="shared" si="2"/>
        <v>45388</v>
      </c>
      <c r="F12" s="15" t="s">
        <v>21</v>
      </c>
      <c r="G12" s="17" cm="1">
        <f t="array" ref="G12">IFERROR(IF(OR(AND(Masterdata!$B$4&lt;&gt;DATE(1900,1,0), Masterdata!$B$4&lt;$E12), AND(Masterdata!$B$3&lt;&gt;DATE(1900,1,0), Masterdata!$B$3&gt;$E12)), IF($H12&gt;TIME(0,0,0), "tast i næste felt", 0), IF($H12&gt;TIME(0,0,0), "Tast i næste felt", IF($H12&gt;0, 0, _xlfn.IFS($C12="lørdag", 0, $C12="søndag", 0, $F12="N", $V$8)))), "Tast i næste felt")</f>
        <v>0</v>
      </c>
      <c r="H12" s="17">
        <v>0</v>
      </c>
      <c r="I12" s="16">
        <v>0</v>
      </c>
      <c r="J12" s="16">
        <v>0</v>
      </c>
      <c r="K12" s="50" t="str">
        <f>IF(OR(AND(Masterdata!$B$4&lt;&gt;DATE(1900,1,0),Masterdata!$B$4&lt;$E12),AND(Masterdata!$B$3&lt;&gt;DATE(1900,1,0),Masterdata!$B$3&gt;$E12)), "0:00", IF($H12&gt;TIME(0,0,0), IF($H12-$V$8&gt;=0, TEXT($H12-$V$8, "[t]:mm"), "-"&amp;TEXT(ABS($H12-$V$8), "[t]:mm")), IFERROR(IF($G12-$V$8=0, IF($G12-$V$8&gt;=0, TEXT($G12-$V$8, "[t]:mm"), "-"&amp;TEXT(ABS($G12-$V$8), "[t]:mm")), IF($J12-$I12&gt;=0, TEXT($J12-$I12, "[t]:mm"), "-"&amp;TEXT(ABS($J12-$I12), "[t]:mm"))), IF($J12-$I12-$V$8&gt;=0, TEXT($J12-$I12-$V$8, "[t]:mm"), "-"&amp;TEXT(ABS($J12-$I12-$V$8), "[t]:mm")))))</f>
        <v>0:00</v>
      </c>
      <c r="L12" s="54" t="str">
        <f t="shared" si="3"/>
        <v>0</v>
      </c>
      <c r="M12" s="58" t="str">
        <f t="shared" si="4"/>
        <v>0</v>
      </c>
      <c r="N12" s="51" t="str">
        <f t="shared" si="5"/>
        <v>00</v>
      </c>
      <c r="O12" s="57">
        <f t="shared" si="6"/>
        <v>0</v>
      </c>
      <c r="P12" s="6">
        <f t="shared" si="7"/>
        <v>0</v>
      </c>
      <c r="Q12" s="63"/>
      <c r="V12" s="38"/>
    </row>
    <row r="13" spans="1:24" ht="15.75" x14ac:dyDescent="0.25">
      <c r="A13" s="12">
        <f t="shared" si="1"/>
        <v>14</v>
      </c>
      <c r="B13" s="13">
        <f t="shared" si="8"/>
        <v>45389</v>
      </c>
      <c r="C13" s="14" t="str" cm="1">
        <f t="array" ref="C13">_xlfn.SWITCH(WEEKDAY($D13, 2), 1, "mandag", 2, "tirsdag", 3, "onsdag", 4, "torsdag", 5, "fredag", 6, "lørdag", 7, "søndag")</f>
        <v>søndag</v>
      </c>
      <c r="D13">
        <f t="shared" si="0"/>
        <v>8</v>
      </c>
      <c r="E13" s="42">
        <f t="shared" si="2"/>
        <v>45389</v>
      </c>
      <c r="F13" s="15" t="s">
        <v>21</v>
      </c>
      <c r="G13" s="17" cm="1">
        <f t="array" ref="G13">IFERROR(IF(OR(AND(Masterdata!$B$4&lt;&gt;DATE(1900,1,0), Masterdata!$B$4&lt;$E13), AND(Masterdata!$B$3&lt;&gt;DATE(1900,1,0), Masterdata!$B$3&gt;$E13)), IF($H13&gt;TIME(0,0,0), "tast i næste felt", 0), IF($H13&gt;TIME(0,0,0), "Tast i næste felt", IF($H13&gt;0, 0, _xlfn.IFS($C13="lørdag", 0, $C13="søndag", 0, $F13="N", $V$8)))), "Tast i næste felt")</f>
        <v>0</v>
      </c>
      <c r="H13" s="17">
        <v>0</v>
      </c>
      <c r="I13" s="16">
        <v>0</v>
      </c>
      <c r="J13" s="16">
        <v>0</v>
      </c>
      <c r="K13" s="50" t="str">
        <f>IF(OR(AND(Masterdata!$B$4&lt;&gt;DATE(1900,1,0),Masterdata!$B$4&lt;$E13),AND(Masterdata!$B$3&lt;&gt;DATE(1900,1,0),Masterdata!$B$3&gt;$E13)), "0:00", IF($H13&gt;TIME(0,0,0), IF($H13-$V$8&gt;=0, TEXT($H13-$V$8, "[t]:mm"), "-"&amp;TEXT(ABS($H13-$V$8), "[t]:mm")), IFERROR(IF($G13-$V$8=0, IF($G13-$V$8&gt;=0, TEXT($G13-$V$8, "[t]:mm"), "-"&amp;TEXT(ABS($G13-$V$8), "[t]:mm")), IF($J13-$I13&gt;=0, TEXT($J13-$I13, "[t]:mm"), "-"&amp;TEXT(ABS($J13-$I13), "[t]:mm"))), IF($J13-$I13-$V$8&gt;=0, TEXT($J13-$I13-$V$8, "[t]:mm"), "-"&amp;TEXT(ABS($J13-$I13-$V$8), "[t]:mm")))))</f>
        <v>0:00</v>
      </c>
      <c r="L13" s="54" t="str">
        <f t="shared" si="3"/>
        <v>0</v>
      </c>
      <c r="M13" s="58" t="str">
        <f t="shared" si="4"/>
        <v>0</v>
      </c>
      <c r="N13" s="51" t="str">
        <f t="shared" si="5"/>
        <v>00</v>
      </c>
      <c r="O13" s="57">
        <f t="shared" si="6"/>
        <v>0</v>
      </c>
      <c r="P13" s="6">
        <f t="shared" si="7"/>
        <v>0</v>
      </c>
      <c r="Q13" s="63"/>
    </row>
    <row r="14" spans="1:24" ht="15.75" x14ac:dyDescent="0.25">
      <c r="A14" s="12">
        <f t="shared" si="1"/>
        <v>15</v>
      </c>
      <c r="B14" s="13">
        <f t="shared" si="8"/>
        <v>45390</v>
      </c>
      <c r="C14" s="14" t="str" cm="1">
        <f t="array" ref="C14">_xlfn.SWITCH(WEEKDAY($D14, 2), 1, "mandag", 2, "tirsdag", 3, "onsdag", 4, "torsdag", 5, "fredag", 6, "lørdag", 7, "søndag")</f>
        <v>mandag</v>
      </c>
      <c r="D14">
        <f t="shared" si="0"/>
        <v>2</v>
      </c>
      <c r="E14" s="42">
        <f t="shared" si="2"/>
        <v>45390</v>
      </c>
      <c r="F14" s="15" t="s">
        <v>21</v>
      </c>
      <c r="G14" s="17" cm="1">
        <f t="array" ref="G14">IFERROR(IF(OR(AND(Masterdata!$B$4&lt;&gt;DATE(1900,1,0), Masterdata!$B$4&lt;$E14), AND(Masterdata!$B$3&lt;&gt;DATE(1900,1,0), Masterdata!$B$3&gt;$E14)), IF($H14&gt;TIME(0,0,0), "tast i næste felt", 0), IF($H14&gt;TIME(0,0,0), "Tast i næste felt", IF($H14&gt;0, 0, _xlfn.IFS($C14="lørdag", 0, $C14="søndag", 0, $F14="N", $V$8)))), "Tast i næste felt")</f>
        <v>0.30833333333333335</v>
      </c>
      <c r="H14" s="17">
        <v>0</v>
      </c>
      <c r="I14" s="16">
        <v>0</v>
      </c>
      <c r="J14" s="16">
        <v>0</v>
      </c>
      <c r="K14" s="50" t="str">
        <f>IF(OR(AND(Masterdata!$B$4&lt;&gt;DATE(1900,1,0),Masterdata!$B$4&lt;$E14),AND(Masterdata!$B$3&lt;&gt;DATE(1900,1,0),Masterdata!$B$3&gt;$E14)), "0:00", IF($H14&gt;TIME(0,0,0), IF($H14-$V$8&gt;=0, TEXT($H14-$V$8, "[t]:mm"), "-"&amp;TEXT(ABS($H14-$V$8), "[t]:mm")), IFERROR(IF($G14-$V$8=0, IF($G14-$V$8&gt;=0, TEXT($G14-$V$8, "[t]:mm"), "-"&amp;TEXT(ABS($G14-$V$8), "[t]:mm")), IF($J14-$I14&gt;=0, TEXT($J14-$I14, "[t]:mm"), "-"&amp;TEXT(ABS($J14-$I14), "[t]:mm"))), IF($J14-$I14-$V$8&gt;=0, TEXT($J14-$I14-$V$8, "[t]:mm"), "-"&amp;TEXT(ABS($J14-$I14-$V$8), "[t]:mm")))))</f>
        <v>0:00</v>
      </c>
      <c r="L14" s="54" t="str">
        <f t="shared" si="3"/>
        <v>0</v>
      </c>
      <c r="M14" s="58" t="str">
        <f t="shared" si="4"/>
        <v>0</v>
      </c>
      <c r="N14" s="51" t="str">
        <f t="shared" si="5"/>
        <v>00</v>
      </c>
      <c r="O14" s="57">
        <f t="shared" si="6"/>
        <v>0</v>
      </c>
      <c r="P14" s="6">
        <f t="shared" si="7"/>
        <v>0</v>
      </c>
      <c r="Q14" s="63"/>
      <c r="S14" t="s">
        <v>46</v>
      </c>
      <c r="T14" t="s">
        <v>47</v>
      </c>
      <c r="U14" t="s">
        <v>48</v>
      </c>
      <c r="V14" s="6">
        <f>V9-V12</f>
        <v>160.33000000000001</v>
      </c>
    </row>
    <row r="15" spans="1:24" ht="15.75" x14ac:dyDescent="0.25">
      <c r="A15" s="12">
        <f t="shared" si="1"/>
        <v>15</v>
      </c>
      <c r="B15" s="13">
        <f t="shared" si="8"/>
        <v>45391</v>
      </c>
      <c r="C15" s="14" t="str" cm="1">
        <f t="array" ref="C15">_xlfn.SWITCH(WEEKDAY($D15, 2), 1, "mandag", 2, "tirsdag", 3, "onsdag", 4, "torsdag", 5, "fredag", 6, "lørdag", 7, "søndag")</f>
        <v>tirsdag</v>
      </c>
      <c r="D15">
        <f t="shared" si="0"/>
        <v>3</v>
      </c>
      <c r="E15" s="42">
        <f t="shared" si="2"/>
        <v>45391</v>
      </c>
      <c r="F15" s="15" t="s">
        <v>21</v>
      </c>
      <c r="G15" s="17" cm="1">
        <f t="array" ref="G15">IFERROR(IF(OR(AND(Masterdata!$B$4&lt;&gt;DATE(1900,1,0), Masterdata!$B$4&lt;$E15), AND(Masterdata!$B$3&lt;&gt;DATE(1900,1,0), Masterdata!$B$3&gt;$E15)), IF($H15&gt;TIME(0,0,0), "tast i næste felt", 0), IF($H15&gt;TIME(0,0,0), "Tast i næste felt", IF($H15&gt;0, 0, _xlfn.IFS($C15="lørdag", 0, $C15="søndag", 0, $F15="N", $V$8)))), "Tast i næste felt")</f>
        <v>0.30833333333333335</v>
      </c>
      <c r="H15" s="17">
        <v>0</v>
      </c>
      <c r="I15" s="16">
        <v>0</v>
      </c>
      <c r="J15" s="16">
        <v>0</v>
      </c>
      <c r="K15" s="50" t="str">
        <f>IF(OR(AND(Masterdata!$B$4&lt;&gt;DATE(1900,1,0),Masterdata!$B$4&lt;$E15),AND(Masterdata!$B$3&lt;&gt;DATE(1900,1,0),Masterdata!$B$3&gt;$E15)), "0:00", IF($H15&gt;TIME(0,0,0), IF($H15-$V$8&gt;=0, TEXT($H15-$V$8, "[t]:mm"), "-"&amp;TEXT(ABS($H15-$V$8), "[t]:mm")), IFERROR(IF($G15-$V$8=0, IF($G15-$V$8&gt;=0, TEXT($G15-$V$8, "[t]:mm"), "-"&amp;TEXT(ABS($G15-$V$8), "[t]:mm")), IF($J15-$I15&gt;=0, TEXT($J15-$I15, "[t]:mm"), "-"&amp;TEXT(ABS($J15-$I15), "[t]:mm"))), IF($J15-$I15-$V$8&gt;=0, TEXT($J15-$I15-$V$8, "[t]:mm"), "-"&amp;TEXT(ABS($J15-$I15-$V$8), "[t]:mm")))))</f>
        <v>0:00</v>
      </c>
      <c r="L15" s="54" t="str">
        <f t="shared" si="3"/>
        <v>0</v>
      </c>
      <c r="M15" s="58" t="str">
        <f t="shared" si="4"/>
        <v>0</v>
      </c>
      <c r="N15" s="51" t="str">
        <f t="shared" si="5"/>
        <v>00</v>
      </c>
      <c r="O15" s="57">
        <f t="shared" si="6"/>
        <v>0</v>
      </c>
      <c r="P15" s="6">
        <f t="shared" si="7"/>
        <v>0</v>
      </c>
      <c r="Q15" s="63"/>
      <c r="S15" t="s">
        <v>49</v>
      </c>
      <c r="T15" t="s">
        <v>50</v>
      </c>
      <c r="U15" t="s">
        <v>51</v>
      </c>
      <c r="V15" s="6" t="e">
        <f>SUM(#REF!)</f>
        <v>#REF!</v>
      </c>
    </row>
    <row r="16" spans="1:24" ht="15.75" x14ac:dyDescent="0.25">
      <c r="A16" s="12">
        <f t="shared" si="1"/>
        <v>15</v>
      </c>
      <c r="B16" s="13">
        <f t="shared" si="8"/>
        <v>45392</v>
      </c>
      <c r="C16" s="14" t="str" cm="1">
        <f t="array" ref="C16">_xlfn.SWITCH(WEEKDAY($D16, 2), 1, "mandag", 2, "tirsdag", 3, "onsdag", 4, "torsdag", 5, "fredag", 6, "lørdag", 7, "søndag")</f>
        <v>onsdag</v>
      </c>
      <c r="D16">
        <f t="shared" si="0"/>
        <v>4</v>
      </c>
      <c r="E16" s="42">
        <f t="shared" si="2"/>
        <v>45392</v>
      </c>
      <c r="F16" s="15" t="s">
        <v>21</v>
      </c>
      <c r="G16" s="17" cm="1">
        <f t="array" ref="G16">IFERROR(IF(OR(AND(Masterdata!$B$4&lt;&gt;DATE(1900,1,0), Masterdata!$B$4&lt;$E16), AND(Masterdata!$B$3&lt;&gt;DATE(1900,1,0), Masterdata!$B$3&gt;$E16)), IF($H16&gt;TIME(0,0,0), "tast i næste felt", 0), IF($H16&gt;TIME(0,0,0), "Tast i næste felt", IF($H16&gt;0, 0, _xlfn.IFS($C16="lørdag", 0, $C16="søndag", 0, $F16="N", $V$8)))), "Tast i næste felt")</f>
        <v>0.30833333333333335</v>
      </c>
      <c r="H16" s="17">
        <v>0</v>
      </c>
      <c r="I16" s="16">
        <v>0</v>
      </c>
      <c r="J16" s="16">
        <v>0</v>
      </c>
      <c r="K16" s="50" t="str">
        <f>IF(OR(AND(Masterdata!$B$4&lt;&gt;DATE(1900,1,0),Masterdata!$B$4&lt;$E16),AND(Masterdata!$B$3&lt;&gt;DATE(1900,1,0),Masterdata!$B$3&gt;$E16)), "0:00", IF($H16&gt;TIME(0,0,0), IF($H16-$V$8&gt;=0, TEXT($H16-$V$8, "[t]:mm"), "-"&amp;TEXT(ABS($H16-$V$8), "[t]:mm")), IFERROR(IF($G16-$V$8=0, IF($G16-$V$8&gt;=0, TEXT($G16-$V$8, "[t]:mm"), "-"&amp;TEXT(ABS($G16-$V$8), "[t]:mm")), IF($J16-$I16&gt;=0, TEXT($J16-$I16, "[t]:mm"), "-"&amp;TEXT(ABS($J16-$I16), "[t]:mm"))), IF($J16-$I16-$V$8&gt;=0, TEXT($J16-$I16-$V$8, "[t]:mm"), "-"&amp;TEXT(ABS($J16-$I16-$V$8), "[t]:mm")))))</f>
        <v>0:00</v>
      </c>
      <c r="L16" s="54" t="str">
        <f t="shared" si="3"/>
        <v>0</v>
      </c>
      <c r="M16" s="58" t="str">
        <f t="shared" si="4"/>
        <v>0</v>
      </c>
      <c r="N16" s="51" t="str">
        <f t="shared" si="5"/>
        <v>00</v>
      </c>
      <c r="O16" s="57">
        <f t="shared" si="6"/>
        <v>0</v>
      </c>
      <c r="P16" s="6">
        <f t="shared" si="7"/>
        <v>0</v>
      </c>
      <c r="Q16" s="63"/>
      <c r="S16" t="s">
        <v>23</v>
      </c>
      <c r="T16" t="s">
        <v>52</v>
      </c>
      <c r="U16" t="s">
        <v>53</v>
      </c>
      <c r="V16" s="6" t="e">
        <f>V14-V15</f>
        <v>#REF!</v>
      </c>
    </row>
    <row r="17" spans="1:21" ht="15.75" x14ac:dyDescent="0.25">
      <c r="A17" s="12">
        <f t="shared" si="1"/>
        <v>15</v>
      </c>
      <c r="B17" s="13">
        <f t="shared" si="8"/>
        <v>45393</v>
      </c>
      <c r="C17" s="14" t="str" cm="1">
        <f t="array" ref="C17">_xlfn.SWITCH(WEEKDAY($D17, 2), 1, "mandag", 2, "tirsdag", 3, "onsdag", 4, "torsdag", 5, "fredag", 6, "lørdag", 7, "søndag")</f>
        <v>torsdag</v>
      </c>
      <c r="D17">
        <f t="shared" si="0"/>
        <v>5</v>
      </c>
      <c r="E17" s="42">
        <f t="shared" si="2"/>
        <v>45393</v>
      </c>
      <c r="F17" s="15" t="s">
        <v>21</v>
      </c>
      <c r="G17" s="17" cm="1">
        <f t="array" ref="G17">IFERROR(IF(OR(AND(Masterdata!$B$4&lt;&gt;DATE(1900,1,0), Masterdata!$B$4&lt;$E17), AND(Masterdata!$B$3&lt;&gt;DATE(1900,1,0), Masterdata!$B$3&gt;$E17)), IF($H17&gt;TIME(0,0,0), "tast i næste felt", 0), IF($H17&gt;TIME(0,0,0), "Tast i næste felt", IF($H17&gt;0, 0, _xlfn.IFS($C17="lørdag", 0, $C17="søndag", 0, $F17="N", $V$8)))), "Tast i næste felt")</f>
        <v>0.30833333333333335</v>
      </c>
      <c r="H17" s="17">
        <v>0</v>
      </c>
      <c r="I17" s="16">
        <v>0</v>
      </c>
      <c r="J17" s="16">
        <v>0</v>
      </c>
      <c r="K17" s="50" t="str">
        <f>IF(OR(AND(Masterdata!$B$4&lt;&gt;DATE(1900,1,0),Masterdata!$B$4&lt;$E17),AND(Masterdata!$B$3&lt;&gt;DATE(1900,1,0),Masterdata!$B$3&gt;$E17)), "0:00", IF($H17&gt;TIME(0,0,0), IF($H17-$V$8&gt;=0, TEXT($H17-$V$8, "[t]:mm"), "-"&amp;TEXT(ABS($H17-$V$8), "[t]:mm")), IFERROR(IF($G17-$V$8=0, IF($G17-$V$8&gt;=0, TEXT($G17-$V$8, "[t]:mm"), "-"&amp;TEXT(ABS($G17-$V$8), "[t]:mm")), IF($J17-$I17&gt;=0, TEXT($J17-$I17, "[t]:mm"), "-"&amp;TEXT(ABS($J17-$I17), "[t]:mm"))), IF($J17-$I17-$V$8&gt;=0, TEXT($J17-$I17-$V$8, "[t]:mm"), "-"&amp;TEXT(ABS($J17-$I17-$V$8), "[t]:mm")))))</f>
        <v>0:00</v>
      </c>
      <c r="L17" s="54" t="str">
        <f t="shared" si="3"/>
        <v>0</v>
      </c>
      <c r="M17" s="58" t="str">
        <f t="shared" si="4"/>
        <v>0</v>
      </c>
      <c r="N17" s="51" t="str">
        <f t="shared" si="5"/>
        <v>00</v>
      </c>
      <c r="O17" s="57">
        <f t="shared" si="6"/>
        <v>0</v>
      </c>
      <c r="P17" s="6">
        <f t="shared" si="7"/>
        <v>0</v>
      </c>
      <c r="Q17" s="63"/>
      <c r="U17" s="42"/>
    </row>
    <row r="18" spans="1:21" ht="15.75" x14ac:dyDescent="0.25">
      <c r="A18" s="12">
        <f t="shared" si="1"/>
        <v>15</v>
      </c>
      <c r="B18" s="13">
        <f t="shared" si="8"/>
        <v>45394</v>
      </c>
      <c r="C18" s="14" t="str" cm="1">
        <f t="array" ref="C18">_xlfn.SWITCH(WEEKDAY($D18, 2), 1, "mandag", 2, "tirsdag", 3, "onsdag", 4, "torsdag", 5, "fredag", 6, "lørdag", 7, "søndag")</f>
        <v>fredag</v>
      </c>
      <c r="D18">
        <f t="shared" si="0"/>
        <v>6</v>
      </c>
      <c r="E18" s="42">
        <f t="shared" si="2"/>
        <v>45394</v>
      </c>
      <c r="F18" s="15" t="s">
        <v>21</v>
      </c>
      <c r="G18" s="17" cm="1">
        <f t="array" ref="G18">IFERROR(IF(OR(AND(Masterdata!$B$4&lt;&gt;DATE(1900,1,0), Masterdata!$B$4&lt;$E18), AND(Masterdata!$B$3&lt;&gt;DATE(1900,1,0), Masterdata!$B$3&gt;$E18)), IF($H18&gt;TIME(0,0,0), "tast i næste felt", 0), IF($H18&gt;TIME(0,0,0), "Tast i næste felt", IF($H18&gt;0, 0, _xlfn.IFS($C18="lørdag", 0, $C18="søndag", 0, $F18="N", $V$8)))), "Tast i næste felt")</f>
        <v>0.30833333333333335</v>
      </c>
      <c r="H18" s="17">
        <v>0</v>
      </c>
      <c r="I18" s="16">
        <v>0</v>
      </c>
      <c r="J18" s="16">
        <v>0</v>
      </c>
      <c r="K18" s="50" t="str">
        <f>IF(OR(AND(Masterdata!$B$4&lt;&gt;DATE(1900,1,0),Masterdata!$B$4&lt;$E18),AND(Masterdata!$B$3&lt;&gt;DATE(1900,1,0),Masterdata!$B$3&gt;$E18)), "0:00", IF($H18&gt;TIME(0,0,0), IF($H18-$V$8&gt;=0, TEXT($H18-$V$8, "[t]:mm"), "-"&amp;TEXT(ABS($H18-$V$8), "[t]:mm")), IFERROR(IF($G18-$V$8=0, IF($G18-$V$8&gt;=0, TEXT($G18-$V$8, "[t]:mm"), "-"&amp;TEXT(ABS($G18-$V$8), "[t]:mm")), IF($J18-$I18&gt;=0, TEXT($J18-$I18, "[t]:mm"), "-"&amp;TEXT(ABS($J18-$I18), "[t]:mm"))), IF($J18-$I18-$V$8&gt;=0, TEXT($J18-$I18-$V$8, "[t]:mm"), "-"&amp;TEXT(ABS($J18-$I18-$V$8), "[t]:mm")))))</f>
        <v>0:00</v>
      </c>
      <c r="L18" s="54" t="str">
        <f t="shared" si="3"/>
        <v>0</v>
      </c>
      <c r="M18" s="58" t="str">
        <f t="shared" si="4"/>
        <v>0</v>
      </c>
      <c r="N18" s="51" t="str">
        <f t="shared" si="5"/>
        <v>00</v>
      </c>
      <c r="O18" s="57">
        <f t="shared" si="6"/>
        <v>0</v>
      </c>
      <c r="P18" s="6">
        <f t="shared" si="7"/>
        <v>0</v>
      </c>
      <c r="Q18" s="63"/>
      <c r="R18" s="52"/>
    </row>
    <row r="19" spans="1:21" ht="15.75" x14ac:dyDescent="0.25">
      <c r="A19" s="12">
        <f t="shared" si="1"/>
        <v>15</v>
      </c>
      <c r="B19" s="13">
        <f t="shared" si="8"/>
        <v>45395</v>
      </c>
      <c r="C19" s="14" t="str" cm="1">
        <f t="array" ref="C19">_xlfn.SWITCH(WEEKDAY($D19, 2), 1, "mandag", 2, "tirsdag", 3, "onsdag", 4, "torsdag", 5, "fredag", 6, "lørdag", 7, "søndag")</f>
        <v>lørdag</v>
      </c>
      <c r="D19">
        <f t="shared" si="0"/>
        <v>7</v>
      </c>
      <c r="E19" s="42">
        <f t="shared" si="2"/>
        <v>45395</v>
      </c>
      <c r="F19" s="15" t="s">
        <v>21</v>
      </c>
      <c r="G19" s="17" cm="1">
        <f t="array" ref="G19">IFERROR(IF(OR(AND(Masterdata!$B$4&lt;&gt;DATE(1900,1,0), Masterdata!$B$4&lt;$E19), AND(Masterdata!$B$3&lt;&gt;DATE(1900,1,0), Masterdata!$B$3&gt;$E19)), IF($H19&gt;TIME(0,0,0), "tast i næste felt", 0), IF($H19&gt;TIME(0,0,0), "Tast i næste felt", IF($H19&gt;0, 0, _xlfn.IFS($C19="lørdag", 0, $C19="søndag", 0, $F19="N", $V$8)))), "Tast i næste felt")</f>
        <v>0</v>
      </c>
      <c r="H19" s="17">
        <v>0</v>
      </c>
      <c r="I19" s="16">
        <v>0</v>
      </c>
      <c r="J19" s="16">
        <v>0</v>
      </c>
      <c r="K19" s="50" t="str">
        <f>IF(OR(AND(Masterdata!$B$4&lt;&gt;DATE(1900,1,0),Masterdata!$B$4&lt;$E19),AND(Masterdata!$B$3&lt;&gt;DATE(1900,1,0),Masterdata!$B$3&gt;$E19)), "0:00", IF($H19&gt;TIME(0,0,0), IF($H19-$V$8&gt;=0, TEXT($H19-$V$8, "[t]:mm"), "-"&amp;TEXT(ABS($H19-$V$8), "[t]:mm")), IFERROR(IF($G19-$V$8=0, IF($G19-$V$8&gt;=0, TEXT($G19-$V$8, "[t]:mm"), "-"&amp;TEXT(ABS($G19-$V$8), "[t]:mm")), IF($J19-$I19&gt;=0, TEXT($J19-$I19, "[t]:mm"), "-"&amp;TEXT(ABS($J19-$I19), "[t]:mm"))), IF($J19-$I19-$V$8&gt;=0, TEXT($J19-$I19-$V$8, "[t]:mm"), "-"&amp;TEXT(ABS($J19-$I19-$V$8), "[t]:mm")))))</f>
        <v>0:00</v>
      </c>
      <c r="L19" s="54" t="str">
        <f t="shared" si="3"/>
        <v>0</v>
      </c>
      <c r="M19" s="58" t="str">
        <f t="shared" si="4"/>
        <v>0</v>
      </c>
      <c r="N19" s="51" t="str">
        <f t="shared" si="5"/>
        <v>00</v>
      </c>
      <c r="O19" s="57">
        <f t="shared" si="6"/>
        <v>0</v>
      </c>
      <c r="P19" s="6">
        <f t="shared" si="7"/>
        <v>0</v>
      </c>
      <c r="Q19" s="63"/>
    </row>
    <row r="20" spans="1:21" ht="15.75" x14ac:dyDescent="0.25">
      <c r="A20" s="12">
        <f t="shared" si="1"/>
        <v>15</v>
      </c>
      <c r="B20" s="13">
        <f t="shared" si="8"/>
        <v>45396</v>
      </c>
      <c r="C20" s="14" t="str" cm="1">
        <f t="array" ref="C20">_xlfn.SWITCH(WEEKDAY($D20, 2), 1, "mandag", 2, "tirsdag", 3, "onsdag", 4, "torsdag", 5, "fredag", 6, "lørdag", 7, "søndag")</f>
        <v>søndag</v>
      </c>
      <c r="D20">
        <f t="shared" si="0"/>
        <v>8</v>
      </c>
      <c r="E20" s="42">
        <f t="shared" si="2"/>
        <v>45396</v>
      </c>
      <c r="F20" s="15" t="s">
        <v>21</v>
      </c>
      <c r="G20" s="17" cm="1">
        <f t="array" ref="G20">IFERROR(IF(OR(AND(Masterdata!$B$4&lt;&gt;DATE(1900,1,0), Masterdata!$B$4&lt;$E20), AND(Masterdata!$B$3&lt;&gt;DATE(1900,1,0), Masterdata!$B$3&gt;$E20)), IF($H20&gt;TIME(0,0,0), "tast i næste felt", 0), IF($H20&gt;TIME(0,0,0), "Tast i næste felt", IF($H20&gt;0, 0, _xlfn.IFS($C20="lørdag", 0, $C20="søndag", 0, $F20="N", $V$8)))), "Tast i næste felt")</f>
        <v>0</v>
      </c>
      <c r="H20" s="17">
        <v>0</v>
      </c>
      <c r="I20" s="16">
        <v>0</v>
      </c>
      <c r="J20" s="16">
        <v>0</v>
      </c>
      <c r="K20" s="50" t="str">
        <f>IF(OR(AND(Masterdata!$B$4&lt;&gt;DATE(1900,1,0),Masterdata!$B$4&lt;$E20),AND(Masterdata!$B$3&lt;&gt;DATE(1900,1,0),Masterdata!$B$3&gt;$E20)), "0:00", IF($H20&gt;TIME(0,0,0), IF($H20-$V$8&gt;=0, TEXT($H20-$V$8, "[t]:mm"), "-"&amp;TEXT(ABS($H20-$V$8), "[t]:mm")), IFERROR(IF($G20-$V$8=0, IF($G20-$V$8&gt;=0, TEXT($G20-$V$8, "[t]:mm"), "-"&amp;TEXT(ABS($G20-$V$8), "[t]:mm")), IF($J20-$I20&gt;=0, TEXT($J20-$I20, "[t]:mm"), "-"&amp;TEXT(ABS($J20-$I20), "[t]:mm"))), IF($J20-$I20-$V$8&gt;=0, TEXT($J20-$I20-$V$8, "[t]:mm"), "-"&amp;TEXT(ABS($J20-$I20-$V$8), "[t]:mm")))))</f>
        <v>0:00</v>
      </c>
      <c r="L20" s="54" t="str">
        <f t="shared" si="3"/>
        <v>0</v>
      </c>
      <c r="M20" s="58" t="str">
        <f t="shared" si="4"/>
        <v>0</v>
      </c>
      <c r="N20" s="51" t="str">
        <f t="shared" si="5"/>
        <v>00</v>
      </c>
      <c r="O20" s="57">
        <f t="shared" si="6"/>
        <v>0</v>
      </c>
      <c r="P20" s="6">
        <f t="shared" si="7"/>
        <v>0</v>
      </c>
      <c r="Q20" s="63"/>
    </row>
    <row r="21" spans="1:21" ht="15.75" x14ac:dyDescent="0.25">
      <c r="A21" s="12">
        <f t="shared" si="1"/>
        <v>16</v>
      </c>
      <c r="B21" s="13">
        <f t="shared" si="8"/>
        <v>45397</v>
      </c>
      <c r="C21" s="14" t="str" cm="1">
        <f t="array" ref="C21">_xlfn.SWITCH(WEEKDAY($D21, 2), 1, "mandag", 2, "tirsdag", 3, "onsdag", 4, "torsdag", 5, "fredag", 6, "lørdag", 7, "søndag")</f>
        <v>mandag</v>
      </c>
      <c r="D21">
        <f t="shared" si="0"/>
        <v>2</v>
      </c>
      <c r="E21" s="42">
        <f t="shared" si="2"/>
        <v>45397</v>
      </c>
      <c r="F21" s="15" t="s">
        <v>21</v>
      </c>
      <c r="G21" s="17" cm="1">
        <f t="array" ref="G21">IFERROR(IF(OR(AND(Masterdata!$B$4&lt;&gt;DATE(1900,1,0), Masterdata!$B$4&lt;$E21), AND(Masterdata!$B$3&lt;&gt;DATE(1900,1,0), Masterdata!$B$3&gt;$E21)), IF($H21&gt;TIME(0,0,0), "tast i næste felt", 0), IF($H21&gt;TIME(0,0,0), "Tast i næste felt", IF($H21&gt;0, 0, _xlfn.IFS($C21="lørdag", 0, $C21="søndag", 0, $F21="N", $V$8)))), "Tast i næste felt")</f>
        <v>0.30833333333333335</v>
      </c>
      <c r="H21" s="17">
        <v>0</v>
      </c>
      <c r="I21" s="16">
        <v>0</v>
      </c>
      <c r="J21" s="16">
        <v>0</v>
      </c>
      <c r="K21" s="50" t="str">
        <f>IF(OR(AND(Masterdata!$B$4&lt;&gt;DATE(1900,1,0),Masterdata!$B$4&lt;$E21),AND(Masterdata!$B$3&lt;&gt;DATE(1900,1,0),Masterdata!$B$3&gt;$E21)), "0:00", IF($H21&gt;TIME(0,0,0), IF($H21-$V$8&gt;=0, TEXT($H21-$V$8, "[t]:mm"), "-"&amp;TEXT(ABS($H21-$V$8), "[t]:mm")), IFERROR(IF($G21-$V$8=0, IF($G21-$V$8&gt;=0, TEXT($G21-$V$8, "[t]:mm"), "-"&amp;TEXT(ABS($G21-$V$8), "[t]:mm")), IF($J21-$I21&gt;=0, TEXT($J21-$I21, "[t]:mm"), "-"&amp;TEXT(ABS($J21-$I21), "[t]:mm"))), IF($J21-$I21-$V$8&gt;=0, TEXT($J21-$I21-$V$8, "[t]:mm"), "-"&amp;TEXT(ABS($J21-$I21-$V$8), "[t]:mm")))))</f>
        <v>0:00</v>
      </c>
      <c r="L21" s="54" t="str">
        <f t="shared" si="3"/>
        <v>0</v>
      </c>
      <c r="M21" s="58" t="str">
        <f t="shared" si="4"/>
        <v>0</v>
      </c>
      <c r="N21" s="51" t="str">
        <f t="shared" si="5"/>
        <v>00</v>
      </c>
      <c r="O21" s="57">
        <f t="shared" si="6"/>
        <v>0</v>
      </c>
      <c r="P21" s="6">
        <f t="shared" si="7"/>
        <v>0</v>
      </c>
      <c r="Q21" s="63"/>
    </row>
    <row r="22" spans="1:21" ht="15.75" x14ac:dyDescent="0.25">
      <c r="A22" s="12">
        <f t="shared" si="1"/>
        <v>16</v>
      </c>
      <c r="B22" s="13">
        <f t="shared" si="8"/>
        <v>45398</v>
      </c>
      <c r="C22" s="14" t="str" cm="1">
        <f t="array" ref="C22">_xlfn.SWITCH(WEEKDAY($D22, 2), 1, "mandag", 2, "tirsdag", 3, "onsdag", 4, "torsdag", 5, "fredag", 6, "lørdag", 7, "søndag")</f>
        <v>tirsdag</v>
      </c>
      <c r="D22">
        <f t="shared" si="0"/>
        <v>3</v>
      </c>
      <c r="E22" s="42">
        <f t="shared" si="2"/>
        <v>45398</v>
      </c>
      <c r="F22" s="15" t="s">
        <v>21</v>
      </c>
      <c r="G22" s="17" cm="1">
        <f t="array" ref="G22">IFERROR(IF(OR(AND(Masterdata!$B$4&lt;&gt;DATE(1900,1,0), Masterdata!$B$4&lt;$E22), AND(Masterdata!$B$3&lt;&gt;DATE(1900,1,0), Masterdata!$B$3&gt;$E22)), IF($H22&gt;TIME(0,0,0), "tast i næste felt", 0), IF($H22&gt;TIME(0,0,0), "Tast i næste felt", IF($H22&gt;0, 0, _xlfn.IFS($C22="lørdag", 0, $C22="søndag", 0, $F22="N", $V$8)))), "Tast i næste felt")</f>
        <v>0.30833333333333335</v>
      </c>
      <c r="H22" s="17">
        <v>0</v>
      </c>
      <c r="I22" s="16">
        <v>0</v>
      </c>
      <c r="J22" s="16">
        <v>0</v>
      </c>
      <c r="K22" s="50" t="str">
        <f>IF(OR(AND(Masterdata!$B$4&lt;&gt;DATE(1900,1,0),Masterdata!$B$4&lt;$E22),AND(Masterdata!$B$3&lt;&gt;DATE(1900,1,0),Masterdata!$B$3&gt;$E22)), "0:00", IF($H22&gt;TIME(0,0,0), IF($H22-$V$8&gt;=0, TEXT($H22-$V$8, "[t]:mm"), "-"&amp;TEXT(ABS($H22-$V$8), "[t]:mm")), IFERROR(IF($G22-$V$8=0, IF($G22-$V$8&gt;=0, TEXT($G22-$V$8, "[t]:mm"), "-"&amp;TEXT(ABS($G22-$V$8), "[t]:mm")), IF($J22-$I22&gt;=0, TEXT($J22-$I22, "[t]:mm"), "-"&amp;TEXT(ABS($J22-$I22), "[t]:mm"))), IF($J22-$I22-$V$8&gt;=0, TEXT($J22-$I22-$V$8, "[t]:mm"), "-"&amp;TEXT(ABS($J22-$I22-$V$8), "[t]:mm")))))</f>
        <v>0:00</v>
      </c>
      <c r="L22" s="54" t="str">
        <f t="shared" si="3"/>
        <v>0</v>
      </c>
      <c r="M22" s="58" t="str">
        <f t="shared" si="4"/>
        <v>0</v>
      </c>
      <c r="N22" s="51" t="str">
        <f t="shared" si="5"/>
        <v>00</v>
      </c>
      <c r="O22" s="57">
        <f t="shared" si="6"/>
        <v>0</v>
      </c>
      <c r="P22" s="6">
        <f t="shared" si="7"/>
        <v>0</v>
      </c>
      <c r="Q22" s="63"/>
    </row>
    <row r="23" spans="1:21" ht="15.75" x14ac:dyDescent="0.25">
      <c r="A23" s="12">
        <f t="shared" si="1"/>
        <v>16</v>
      </c>
      <c r="B23" s="13">
        <f t="shared" si="8"/>
        <v>45399</v>
      </c>
      <c r="C23" s="14" t="str" cm="1">
        <f t="array" ref="C23">_xlfn.SWITCH(WEEKDAY($D23, 2), 1, "mandag", 2, "tirsdag", 3, "onsdag", 4, "torsdag", 5, "fredag", 6, "lørdag", 7, "søndag")</f>
        <v>onsdag</v>
      </c>
      <c r="D23">
        <f t="shared" si="0"/>
        <v>4</v>
      </c>
      <c r="E23" s="42">
        <f t="shared" si="2"/>
        <v>45399</v>
      </c>
      <c r="F23" s="15" t="s">
        <v>21</v>
      </c>
      <c r="G23" s="17" cm="1">
        <f t="array" ref="G23">IFERROR(IF(OR(AND(Masterdata!$B$4&lt;&gt;DATE(1900,1,0), Masterdata!$B$4&lt;$E23), AND(Masterdata!$B$3&lt;&gt;DATE(1900,1,0), Masterdata!$B$3&gt;$E23)), IF($H23&gt;TIME(0,0,0), "tast i næste felt", 0), IF($H23&gt;TIME(0,0,0), "Tast i næste felt", IF($H23&gt;0, 0, _xlfn.IFS($C23="lørdag", 0, $C23="søndag", 0, $F23="N", $V$8)))), "Tast i næste felt")</f>
        <v>0.30833333333333335</v>
      </c>
      <c r="H23" s="17">
        <v>0</v>
      </c>
      <c r="I23" s="16">
        <v>0</v>
      </c>
      <c r="J23" s="16">
        <v>0</v>
      </c>
      <c r="K23" s="50" t="str">
        <f>IF(OR(AND(Masterdata!$B$4&lt;&gt;DATE(1900,1,0),Masterdata!$B$4&lt;$E23),AND(Masterdata!$B$3&lt;&gt;DATE(1900,1,0),Masterdata!$B$3&gt;$E23)), "0:00", IF($H23&gt;TIME(0,0,0), IF($H23-$V$8&gt;=0, TEXT($H23-$V$8, "[t]:mm"), "-"&amp;TEXT(ABS($H23-$V$8), "[t]:mm")), IFERROR(IF($G23-$V$8=0, IF($G23-$V$8&gt;=0, TEXT($G23-$V$8, "[t]:mm"), "-"&amp;TEXT(ABS($G23-$V$8), "[t]:mm")), IF($J23-$I23&gt;=0, TEXT($J23-$I23, "[t]:mm"), "-"&amp;TEXT(ABS($J23-$I23), "[t]:mm"))), IF($J23-$I23-$V$8&gt;=0, TEXT($J23-$I23-$V$8, "[t]:mm"), "-"&amp;TEXT(ABS($J23-$I23-$V$8), "[t]:mm")))))</f>
        <v>0:00</v>
      </c>
      <c r="L23" s="54" t="str">
        <f t="shared" si="3"/>
        <v>0</v>
      </c>
      <c r="M23" s="58" t="str">
        <f t="shared" si="4"/>
        <v>0</v>
      </c>
      <c r="N23" s="51" t="str">
        <f t="shared" si="5"/>
        <v>00</v>
      </c>
      <c r="O23" s="57">
        <f t="shared" si="6"/>
        <v>0</v>
      </c>
      <c r="P23" s="6">
        <f t="shared" si="7"/>
        <v>0</v>
      </c>
      <c r="Q23" s="63"/>
    </row>
    <row r="24" spans="1:21" ht="15.75" x14ac:dyDescent="0.25">
      <c r="A24" s="12">
        <f t="shared" si="1"/>
        <v>16</v>
      </c>
      <c r="B24" s="13">
        <f t="shared" si="8"/>
        <v>45400</v>
      </c>
      <c r="C24" s="14" t="str" cm="1">
        <f t="array" ref="C24">_xlfn.SWITCH(WEEKDAY($D24, 2), 1, "mandag", 2, "tirsdag", 3, "onsdag", 4, "torsdag", 5, "fredag", 6, "lørdag", 7, "søndag")</f>
        <v>torsdag</v>
      </c>
      <c r="D24">
        <f t="shared" si="0"/>
        <v>5</v>
      </c>
      <c r="E24" s="42">
        <f t="shared" si="2"/>
        <v>45400</v>
      </c>
      <c r="F24" s="15" t="s">
        <v>21</v>
      </c>
      <c r="G24" s="17" cm="1">
        <f t="array" ref="G24">IFERROR(IF(OR(AND(Masterdata!$B$4&lt;&gt;DATE(1900,1,0), Masterdata!$B$4&lt;$E24), AND(Masterdata!$B$3&lt;&gt;DATE(1900,1,0), Masterdata!$B$3&gt;$E24)), IF($H24&gt;TIME(0,0,0), "tast i næste felt", 0), IF($H24&gt;TIME(0,0,0), "Tast i næste felt", IF($H24&gt;0, 0, _xlfn.IFS($C24="lørdag", 0, $C24="søndag", 0, $F24="N", $V$8)))), "Tast i næste felt")</f>
        <v>0.30833333333333335</v>
      </c>
      <c r="H24" s="17">
        <v>0</v>
      </c>
      <c r="I24" s="16">
        <v>0</v>
      </c>
      <c r="J24" s="16">
        <v>0</v>
      </c>
      <c r="K24" s="50" t="str">
        <f>IF(OR(AND(Masterdata!$B$4&lt;&gt;DATE(1900,1,0),Masterdata!$B$4&lt;$E24),AND(Masterdata!$B$3&lt;&gt;DATE(1900,1,0),Masterdata!$B$3&gt;$E24)), "0:00", IF($H24&gt;TIME(0,0,0), IF($H24-$V$8&gt;=0, TEXT($H24-$V$8, "[t]:mm"), "-"&amp;TEXT(ABS($H24-$V$8), "[t]:mm")), IFERROR(IF($G24-$V$8=0, IF($G24-$V$8&gt;=0, TEXT($G24-$V$8, "[t]:mm"), "-"&amp;TEXT(ABS($G24-$V$8), "[t]:mm")), IF($J24-$I24&gt;=0, TEXT($J24-$I24, "[t]:mm"), "-"&amp;TEXT(ABS($J24-$I24), "[t]:mm"))), IF($J24-$I24-$V$8&gt;=0, TEXT($J24-$I24-$V$8, "[t]:mm"), "-"&amp;TEXT(ABS($J24-$I24-$V$8), "[t]:mm")))))</f>
        <v>0:00</v>
      </c>
      <c r="L24" s="54" t="str">
        <f t="shared" si="3"/>
        <v>0</v>
      </c>
      <c r="M24" s="58" t="str">
        <f t="shared" si="4"/>
        <v>0</v>
      </c>
      <c r="N24" s="51" t="str">
        <f t="shared" si="5"/>
        <v>00</v>
      </c>
      <c r="O24" s="57">
        <f t="shared" si="6"/>
        <v>0</v>
      </c>
      <c r="P24" s="6">
        <f t="shared" si="7"/>
        <v>0</v>
      </c>
      <c r="Q24" s="63"/>
    </row>
    <row r="25" spans="1:21" ht="15.75" x14ac:dyDescent="0.25">
      <c r="A25" s="12">
        <f t="shared" si="1"/>
        <v>16</v>
      </c>
      <c r="B25" s="13">
        <f t="shared" si="8"/>
        <v>45401</v>
      </c>
      <c r="C25" s="14" t="str" cm="1">
        <f t="array" ref="C25">_xlfn.SWITCH(WEEKDAY($D25, 2), 1, "mandag", 2, "tirsdag", 3, "onsdag", 4, "torsdag", 5, "fredag", 6, "lørdag", 7, "søndag")</f>
        <v>fredag</v>
      </c>
      <c r="D25">
        <f t="shared" si="0"/>
        <v>6</v>
      </c>
      <c r="E25" s="42">
        <f t="shared" si="2"/>
        <v>45401</v>
      </c>
      <c r="F25" s="15" t="s">
        <v>21</v>
      </c>
      <c r="G25" s="17" cm="1">
        <f t="array" ref="G25">IFERROR(IF(OR(AND(Masterdata!$B$4&lt;&gt;DATE(1900,1,0), Masterdata!$B$4&lt;$E25), AND(Masterdata!$B$3&lt;&gt;DATE(1900,1,0), Masterdata!$B$3&gt;$E25)), IF($H25&gt;TIME(0,0,0), "tast i næste felt", 0), IF($H25&gt;TIME(0,0,0), "Tast i næste felt", IF($H25&gt;0, 0, _xlfn.IFS($C25="lørdag", 0, $C25="søndag", 0, $F25="N", $V$8)))), "Tast i næste felt")</f>
        <v>0.30833333333333335</v>
      </c>
      <c r="H25" s="17">
        <v>0</v>
      </c>
      <c r="I25" s="16">
        <v>0</v>
      </c>
      <c r="J25" s="16">
        <v>0</v>
      </c>
      <c r="K25" s="50" t="str">
        <f>IF(OR(AND(Masterdata!$B$4&lt;&gt;DATE(1900,1,0),Masterdata!$B$4&lt;$E25),AND(Masterdata!$B$3&lt;&gt;DATE(1900,1,0),Masterdata!$B$3&gt;$E25)), "0:00", IF($H25&gt;TIME(0,0,0), IF($H25-$V$8&gt;=0, TEXT($H25-$V$8, "[t]:mm"), "-"&amp;TEXT(ABS($H25-$V$8), "[t]:mm")), IFERROR(IF($G25-$V$8=0, IF($G25-$V$8&gt;=0, TEXT($G25-$V$8, "[t]:mm"), "-"&amp;TEXT(ABS($G25-$V$8), "[t]:mm")), IF($J25-$I25&gt;=0, TEXT($J25-$I25, "[t]:mm"), "-"&amp;TEXT(ABS($J25-$I25), "[t]:mm"))), IF($J25-$I25-$V$8&gt;=0, TEXT($J25-$I25-$V$8, "[t]:mm"), "-"&amp;TEXT(ABS($J25-$I25-$V$8), "[t]:mm")))))</f>
        <v>0:00</v>
      </c>
      <c r="L25" s="54" t="str">
        <f t="shared" si="3"/>
        <v>0</v>
      </c>
      <c r="M25" s="58" t="str">
        <f t="shared" si="4"/>
        <v>0</v>
      </c>
      <c r="N25" s="51" t="str">
        <f t="shared" si="5"/>
        <v>00</v>
      </c>
      <c r="O25" s="57">
        <f t="shared" si="6"/>
        <v>0</v>
      </c>
      <c r="P25" s="6">
        <f t="shared" si="7"/>
        <v>0</v>
      </c>
      <c r="Q25" s="63"/>
    </row>
    <row r="26" spans="1:21" ht="15.75" x14ac:dyDescent="0.25">
      <c r="A26" s="12">
        <f t="shared" si="1"/>
        <v>16</v>
      </c>
      <c r="B26" s="13">
        <f t="shared" si="8"/>
        <v>45402</v>
      </c>
      <c r="C26" s="14" t="str" cm="1">
        <f t="array" ref="C26">_xlfn.SWITCH(WEEKDAY($D26, 2), 1, "mandag", 2, "tirsdag", 3, "onsdag", 4, "torsdag", 5, "fredag", 6, "lørdag", 7, "søndag")</f>
        <v>lørdag</v>
      </c>
      <c r="D26">
        <f t="shared" si="0"/>
        <v>7</v>
      </c>
      <c r="E26" s="42">
        <f t="shared" si="2"/>
        <v>45402</v>
      </c>
      <c r="F26" s="15" t="s">
        <v>21</v>
      </c>
      <c r="G26" s="17" cm="1">
        <f t="array" ref="G26">IFERROR(IF(OR(AND(Masterdata!$B$4&lt;&gt;DATE(1900,1,0), Masterdata!$B$4&lt;$E26), AND(Masterdata!$B$3&lt;&gt;DATE(1900,1,0), Masterdata!$B$3&gt;$E26)), IF($H26&gt;TIME(0,0,0), "tast i næste felt", 0), IF($H26&gt;TIME(0,0,0), "Tast i næste felt", IF($H26&gt;0, 0, _xlfn.IFS($C26="lørdag", 0, $C26="søndag", 0, $F26="N", $V$8)))), "Tast i næste felt")</f>
        <v>0</v>
      </c>
      <c r="H26" s="17">
        <v>0</v>
      </c>
      <c r="I26" s="16">
        <v>0</v>
      </c>
      <c r="J26" s="16">
        <v>0</v>
      </c>
      <c r="K26" s="50" t="str">
        <f>IF(OR(AND(Masterdata!$B$4&lt;&gt;DATE(1900,1,0),Masterdata!$B$4&lt;$E26),AND(Masterdata!$B$3&lt;&gt;DATE(1900,1,0),Masterdata!$B$3&gt;$E26)), "0:00", IF($H26&gt;TIME(0,0,0), IF($H26-$V$8&gt;=0, TEXT($H26-$V$8, "[t]:mm"), "-"&amp;TEXT(ABS($H26-$V$8), "[t]:mm")), IFERROR(IF($G26-$V$8=0, IF($G26-$V$8&gt;=0, TEXT($G26-$V$8, "[t]:mm"), "-"&amp;TEXT(ABS($G26-$V$8), "[t]:mm")), IF($J26-$I26&gt;=0, TEXT($J26-$I26, "[t]:mm"), "-"&amp;TEXT(ABS($J26-$I26), "[t]:mm"))), IF($J26-$I26-$V$8&gt;=0, TEXT($J26-$I26-$V$8, "[t]:mm"), "-"&amp;TEXT(ABS($J26-$I26-$V$8), "[t]:mm")))))</f>
        <v>0:00</v>
      </c>
      <c r="L26" s="54" t="str">
        <f t="shared" si="3"/>
        <v>0</v>
      </c>
      <c r="M26" s="58" t="str">
        <f t="shared" si="4"/>
        <v>0</v>
      </c>
      <c r="N26" s="51" t="str">
        <f t="shared" si="5"/>
        <v>00</v>
      </c>
      <c r="O26" s="57">
        <f t="shared" si="6"/>
        <v>0</v>
      </c>
      <c r="P26" s="6">
        <f t="shared" si="7"/>
        <v>0</v>
      </c>
      <c r="Q26" s="63"/>
    </row>
    <row r="27" spans="1:21" ht="15.75" x14ac:dyDescent="0.25">
      <c r="A27" s="12">
        <f t="shared" si="1"/>
        <v>16</v>
      </c>
      <c r="B27" s="13">
        <f t="shared" si="8"/>
        <v>45403</v>
      </c>
      <c r="C27" s="14" t="str" cm="1">
        <f t="array" ref="C27">_xlfn.SWITCH(WEEKDAY($D27, 2), 1, "mandag", 2, "tirsdag", 3, "onsdag", 4, "torsdag", 5, "fredag", 6, "lørdag", 7, "søndag")</f>
        <v>søndag</v>
      </c>
      <c r="D27">
        <f t="shared" si="0"/>
        <v>8</v>
      </c>
      <c r="E27" s="42">
        <f t="shared" si="2"/>
        <v>45403</v>
      </c>
      <c r="F27" s="15" t="s">
        <v>21</v>
      </c>
      <c r="G27" s="17" cm="1">
        <f t="array" ref="G27">IFERROR(IF(OR(AND(Masterdata!$B$4&lt;&gt;DATE(1900,1,0), Masterdata!$B$4&lt;$E27), AND(Masterdata!$B$3&lt;&gt;DATE(1900,1,0), Masterdata!$B$3&gt;$E27)), IF($H27&gt;TIME(0,0,0), "tast i næste felt", 0), IF($H27&gt;TIME(0,0,0), "Tast i næste felt", IF($H27&gt;0, 0, _xlfn.IFS($C27="lørdag", 0, $C27="søndag", 0, $F27="N", $V$8)))), "Tast i næste felt")</f>
        <v>0</v>
      </c>
      <c r="H27" s="17">
        <v>0</v>
      </c>
      <c r="I27" s="16">
        <v>0</v>
      </c>
      <c r="J27" s="16">
        <v>0</v>
      </c>
      <c r="K27" s="50" t="str">
        <f>IF(OR(AND(Masterdata!$B$4&lt;&gt;DATE(1900,1,0),Masterdata!$B$4&lt;$E27),AND(Masterdata!$B$3&lt;&gt;DATE(1900,1,0),Masterdata!$B$3&gt;$E27)), "0:00", IF($H27&gt;TIME(0,0,0), IF($H27-$V$8&gt;=0, TEXT($H27-$V$8, "[t]:mm"), "-"&amp;TEXT(ABS($H27-$V$8), "[t]:mm")), IFERROR(IF($G27-$V$8=0, IF($G27-$V$8&gt;=0, TEXT($G27-$V$8, "[t]:mm"), "-"&amp;TEXT(ABS($G27-$V$8), "[t]:mm")), IF($J27-$I27&gt;=0, TEXT($J27-$I27, "[t]:mm"), "-"&amp;TEXT(ABS($J27-$I27), "[t]:mm"))), IF($J27-$I27-$V$8&gt;=0, TEXT($J27-$I27-$V$8, "[t]:mm"), "-"&amp;TEXT(ABS($J27-$I27-$V$8), "[t]:mm")))))</f>
        <v>0:00</v>
      </c>
      <c r="L27" s="54" t="str">
        <f t="shared" si="3"/>
        <v>0</v>
      </c>
      <c r="M27" s="58" t="str">
        <f t="shared" si="4"/>
        <v>0</v>
      </c>
      <c r="N27" s="51" t="str">
        <f t="shared" si="5"/>
        <v>00</v>
      </c>
      <c r="O27" s="57">
        <f t="shared" si="6"/>
        <v>0</v>
      </c>
      <c r="P27" s="6">
        <f t="shared" si="7"/>
        <v>0</v>
      </c>
      <c r="Q27" s="63"/>
    </row>
    <row r="28" spans="1:21" ht="15.75" x14ac:dyDescent="0.25">
      <c r="A28" s="12">
        <f t="shared" si="1"/>
        <v>17</v>
      </c>
      <c r="B28" s="13">
        <f t="shared" si="8"/>
        <v>45404</v>
      </c>
      <c r="C28" s="14" t="str" cm="1">
        <f t="array" ref="C28">_xlfn.SWITCH(WEEKDAY($D28, 2), 1, "mandag", 2, "tirsdag", 3, "onsdag", 4, "torsdag", 5, "fredag", 6, "lørdag", 7, "søndag")</f>
        <v>mandag</v>
      </c>
      <c r="D28">
        <f t="shared" si="0"/>
        <v>2</v>
      </c>
      <c r="E28" s="42">
        <f t="shared" si="2"/>
        <v>45404</v>
      </c>
      <c r="F28" s="15" t="s">
        <v>21</v>
      </c>
      <c r="G28" s="17" cm="1">
        <f t="array" ref="G28">IFERROR(IF(OR(AND(Masterdata!$B$4&lt;&gt;DATE(1900,1,0), Masterdata!$B$4&lt;$E28), AND(Masterdata!$B$3&lt;&gt;DATE(1900,1,0), Masterdata!$B$3&gt;$E28)), IF($H28&gt;TIME(0,0,0), "tast i næste felt", 0), IF($H28&gt;TIME(0,0,0), "Tast i næste felt", IF($H28&gt;0, 0, _xlfn.IFS($C28="lørdag", 0, $C28="søndag", 0, $F28="N", $V$8)))), "Tast i næste felt")</f>
        <v>0.30833333333333335</v>
      </c>
      <c r="H28" s="17">
        <v>0</v>
      </c>
      <c r="I28" s="16">
        <v>0</v>
      </c>
      <c r="J28" s="16">
        <v>0</v>
      </c>
      <c r="K28" s="50" t="str">
        <f>IF(OR(AND(Masterdata!$B$4&lt;&gt;DATE(1900,1,0),Masterdata!$B$4&lt;$E28),AND(Masterdata!$B$3&lt;&gt;DATE(1900,1,0),Masterdata!$B$3&gt;$E28)), "0:00", IF($H28&gt;TIME(0,0,0), IF($H28-$V$8&gt;=0, TEXT($H28-$V$8, "[t]:mm"), "-"&amp;TEXT(ABS($H28-$V$8), "[t]:mm")), IFERROR(IF($G28-$V$8=0, IF($G28-$V$8&gt;=0, TEXT($G28-$V$8, "[t]:mm"), "-"&amp;TEXT(ABS($G28-$V$8), "[t]:mm")), IF($J28-$I28&gt;=0, TEXT($J28-$I28, "[t]:mm"), "-"&amp;TEXT(ABS($J28-$I28), "[t]:mm"))), IF($J28-$I28-$V$8&gt;=0, TEXT($J28-$I28-$V$8, "[t]:mm"), "-"&amp;TEXT(ABS($J28-$I28-$V$8), "[t]:mm")))))</f>
        <v>0:00</v>
      </c>
      <c r="L28" s="54" t="str">
        <f t="shared" si="3"/>
        <v>0</v>
      </c>
      <c r="M28" s="58" t="str">
        <f t="shared" si="4"/>
        <v>0</v>
      </c>
      <c r="N28" s="51" t="str">
        <f t="shared" si="5"/>
        <v>00</v>
      </c>
      <c r="O28" s="57">
        <f t="shared" si="6"/>
        <v>0</v>
      </c>
      <c r="P28" s="6">
        <f t="shared" si="7"/>
        <v>0</v>
      </c>
      <c r="Q28" s="63"/>
    </row>
    <row r="29" spans="1:21" ht="15.75" x14ac:dyDescent="0.25">
      <c r="A29" s="12">
        <f t="shared" si="1"/>
        <v>17</v>
      </c>
      <c r="B29" s="13">
        <f t="shared" si="8"/>
        <v>45405</v>
      </c>
      <c r="C29" s="14" t="str" cm="1">
        <f t="array" ref="C29">_xlfn.SWITCH(WEEKDAY($D29, 2), 1, "mandag", 2, "tirsdag", 3, "onsdag", 4, "torsdag", 5, "fredag", 6, "lørdag", 7, "søndag")</f>
        <v>tirsdag</v>
      </c>
      <c r="D29">
        <f t="shared" si="0"/>
        <v>3</v>
      </c>
      <c r="E29" s="42">
        <f t="shared" si="2"/>
        <v>45405</v>
      </c>
      <c r="F29" s="15" t="s">
        <v>21</v>
      </c>
      <c r="G29" s="17" cm="1">
        <f t="array" ref="G29">IFERROR(IF(OR(AND(Masterdata!$B$4&lt;&gt;DATE(1900,1,0), Masterdata!$B$4&lt;$E29), AND(Masterdata!$B$3&lt;&gt;DATE(1900,1,0), Masterdata!$B$3&gt;$E29)), IF($H29&gt;TIME(0,0,0), "tast i næste felt", 0), IF($H29&gt;TIME(0,0,0), "Tast i næste felt", IF($H29&gt;0, 0, _xlfn.IFS($C29="lørdag", 0, $C29="søndag", 0, $F29="N", $V$8)))), "Tast i næste felt")</f>
        <v>0.30833333333333335</v>
      </c>
      <c r="H29" s="17">
        <v>0</v>
      </c>
      <c r="I29" s="16">
        <v>0</v>
      </c>
      <c r="J29" s="16">
        <v>0</v>
      </c>
      <c r="K29" s="50" t="str">
        <f>IF(OR(AND(Masterdata!$B$4&lt;&gt;DATE(1900,1,0),Masterdata!$B$4&lt;$E29),AND(Masterdata!$B$3&lt;&gt;DATE(1900,1,0),Masterdata!$B$3&gt;$E29)), "0:00", IF($H29&gt;TIME(0,0,0), IF($H29-$V$8&gt;=0, TEXT($H29-$V$8, "[t]:mm"), "-"&amp;TEXT(ABS($H29-$V$8), "[t]:mm")), IFERROR(IF($G29-$V$8=0, IF($G29-$V$8&gt;=0, TEXT($G29-$V$8, "[t]:mm"), "-"&amp;TEXT(ABS($G29-$V$8), "[t]:mm")), IF($J29-$I29&gt;=0, TEXT($J29-$I29, "[t]:mm"), "-"&amp;TEXT(ABS($J29-$I29), "[t]:mm"))), IF($J29-$I29-$V$8&gt;=0, TEXT($J29-$I29-$V$8, "[t]:mm"), "-"&amp;TEXT(ABS($J29-$I29-$V$8), "[t]:mm")))))</f>
        <v>0:00</v>
      </c>
      <c r="L29" s="54" t="str">
        <f t="shared" si="3"/>
        <v>0</v>
      </c>
      <c r="M29" s="58" t="str">
        <f t="shared" si="4"/>
        <v>0</v>
      </c>
      <c r="N29" s="51" t="str">
        <f t="shared" si="5"/>
        <v>00</v>
      </c>
      <c r="O29" s="57">
        <f t="shared" si="6"/>
        <v>0</v>
      </c>
      <c r="P29" s="6">
        <f t="shared" si="7"/>
        <v>0</v>
      </c>
      <c r="Q29" s="63"/>
    </row>
    <row r="30" spans="1:21" ht="15.75" x14ac:dyDescent="0.25">
      <c r="A30" s="12">
        <f t="shared" si="1"/>
        <v>17</v>
      </c>
      <c r="B30" s="13">
        <f t="shared" si="8"/>
        <v>45406</v>
      </c>
      <c r="C30" s="14" t="str" cm="1">
        <f t="array" ref="C30">_xlfn.SWITCH(WEEKDAY($D30, 2), 1, "mandag", 2, "tirsdag", 3, "onsdag", 4, "torsdag", 5, "fredag", 6, "lørdag", 7, "søndag")</f>
        <v>onsdag</v>
      </c>
      <c r="D30">
        <f t="shared" si="0"/>
        <v>4</v>
      </c>
      <c r="E30" s="42">
        <f t="shared" si="2"/>
        <v>45406</v>
      </c>
      <c r="F30" s="15" t="s">
        <v>21</v>
      </c>
      <c r="G30" s="17" cm="1">
        <f t="array" ref="G30">IFERROR(IF(OR(AND(Masterdata!$B$4&lt;&gt;DATE(1900,1,0), Masterdata!$B$4&lt;$E30), AND(Masterdata!$B$3&lt;&gt;DATE(1900,1,0), Masterdata!$B$3&gt;$E30)), IF($H30&gt;TIME(0,0,0), "tast i næste felt", 0), IF($H30&gt;TIME(0,0,0), "Tast i næste felt", IF($H30&gt;0, 0, _xlfn.IFS($C30="lørdag", 0, $C30="søndag", 0, $F30="N", $V$8)))), "Tast i næste felt")</f>
        <v>0.30833333333333335</v>
      </c>
      <c r="H30" s="17">
        <v>0</v>
      </c>
      <c r="I30" s="16">
        <v>0</v>
      </c>
      <c r="J30" s="16">
        <v>0</v>
      </c>
      <c r="K30" s="50" t="str">
        <f>IF(OR(AND(Masterdata!$B$4&lt;&gt;DATE(1900,1,0),Masterdata!$B$4&lt;$E30),AND(Masterdata!$B$3&lt;&gt;DATE(1900,1,0),Masterdata!$B$3&gt;$E30)), "0:00", IF($H30&gt;TIME(0,0,0), IF($H30-$V$8&gt;=0, TEXT($H30-$V$8, "[t]:mm"), "-"&amp;TEXT(ABS($H30-$V$8), "[t]:mm")), IFERROR(IF($G30-$V$8=0, IF($G30-$V$8&gt;=0, TEXT($G30-$V$8, "[t]:mm"), "-"&amp;TEXT(ABS($G30-$V$8), "[t]:mm")), IF($J30-$I30&gt;=0, TEXT($J30-$I30, "[t]:mm"), "-"&amp;TEXT(ABS($J30-$I30), "[t]:mm"))), IF($J30-$I30-$V$8&gt;=0, TEXT($J30-$I30-$V$8, "[t]:mm"), "-"&amp;TEXT(ABS($J30-$I30-$V$8), "[t]:mm")))))</f>
        <v>0:00</v>
      </c>
      <c r="L30" s="54" t="str">
        <f t="shared" si="3"/>
        <v>0</v>
      </c>
      <c r="M30" s="58" t="str">
        <f t="shared" si="4"/>
        <v>0</v>
      </c>
      <c r="N30" s="51" t="str">
        <f t="shared" si="5"/>
        <v>00</v>
      </c>
      <c r="O30" s="57">
        <f t="shared" si="6"/>
        <v>0</v>
      </c>
      <c r="P30" s="6">
        <f t="shared" si="7"/>
        <v>0</v>
      </c>
      <c r="Q30" s="63"/>
    </row>
    <row r="31" spans="1:21" ht="15.75" x14ac:dyDescent="0.25">
      <c r="A31" s="12">
        <f t="shared" si="1"/>
        <v>17</v>
      </c>
      <c r="B31" s="13">
        <f t="shared" si="8"/>
        <v>45407</v>
      </c>
      <c r="C31" s="14" t="str" cm="1">
        <f t="array" ref="C31">_xlfn.SWITCH(WEEKDAY($D31, 2), 1, "mandag", 2, "tirsdag", 3, "onsdag", 4, "torsdag", 5, "fredag", 6, "lørdag", 7, "søndag")</f>
        <v>torsdag</v>
      </c>
      <c r="D31">
        <f t="shared" si="0"/>
        <v>5</v>
      </c>
      <c r="E31" s="42">
        <f t="shared" si="2"/>
        <v>45407</v>
      </c>
      <c r="F31" s="15" t="s">
        <v>21</v>
      </c>
      <c r="G31" s="17" cm="1">
        <f t="array" ref="G31">IFERROR(IF(OR(AND(Masterdata!$B$4&lt;&gt;DATE(1900,1,0), Masterdata!$B$4&lt;$E31), AND(Masterdata!$B$3&lt;&gt;DATE(1900,1,0), Masterdata!$B$3&gt;$E31)), IF($H31&gt;TIME(0,0,0), "tast i næste felt", 0), IF($H31&gt;TIME(0,0,0), "Tast i næste felt", IF($H31&gt;0, 0, _xlfn.IFS($C31="lørdag", 0, $C31="søndag", 0, $F31="N", $V$8)))), "Tast i næste felt")</f>
        <v>0.30833333333333335</v>
      </c>
      <c r="H31" s="17">
        <v>0</v>
      </c>
      <c r="I31" s="16">
        <v>0</v>
      </c>
      <c r="J31" s="16">
        <v>0</v>
      </c>
      <c r="K31" s="50" t="str">
        <f>IF(OR(AND(Masterdata!$B$4&lt;&gt;DATE(1900,1,0),Masterdata!$B$4&lt;$E31),AND(Masterdata!$B$3&lt;&gt;DATE(1900,1,0),Masterdata!$B$3&gt;$E31)), "0:00", IF($H31&gt;TIME(0,0,0), IF($H31-$V$8&gt;=0, TEXT($H31-$V$8, "[t]:mm"), "-"&amp;TEXT(ABS($H31-$V$8), "[t]:mm")), IFERROR(IF($G31-$V$8=0, IF($G31-$V$8&gt;=0, TEXT($G31-$V$8, "[t]:mm"), "-"&amp;TEXT(ABS($G31-$V$8), "[t]:mm")), IF($J31-$I31&gt;=0, TEXT($J31-$I31, "[t]:mm"), "-"&amp;TEXT(ABS($J31-$I31), "[t]:mm"))), IF($J31-$I31-$V$8&gt;=0, TEXT($J31-$I31-$V$8, "[t]:mm"), "-"&amp;TEXT(ABS($J31-$I31-$V$8), "[t]:mm")))))</f>
        <v>0:00</v>
      </c>
      <c r="L31" s="54" t="str">
        <f t="shared" si="3"/>
        <v>0</v>
      </c>
      <c r="M31" s="58" t="str">
        <f t="shared" si="4"/>
        <v>0</v>
      </c>
      <c r="N31" s="51" t="str">
        <f t="shared" si="5"/>
        <v>00</v>
      </c>
      <c r="O31" s="57">
        <f t="shared" si="6"/>
        <v>0</v>
      </c>
      <c r="P31" s="6">
        <f t="shared" si="7"/>
        <v>0</v>
      </c>
      <c r="Q31" s="63"/>
    </row>
    <row r="32" spans="1:21" ht="15.75" x14ac:dyDescent="0.25">
      <c r="A32" s="12">
        <f t="shared" si="1"/>
        <v>17</v>
      </c>
      <c r="B32" s="13">
        <f t="shared" si="8"/>
        <v>45408</v>
      </c>
      <c r="C32" s="14" t="str" cm="1">
        <f t="array" ref="C32">_xlfn.SWITCH(WEEKDAY($D32, 2), 1, "mandag", 2, "tirsdag", 3, "onsdag", 4, "torsdag", 5, "fredag", 6, "lørdag", 7, "søndag")</f>
        <v>fredag</v>
      </c>
      <c r="D32">
        <f t="shared" si="0"/>
        <v>6</v>
      </c>
      <c r="E32" s="42">
        <f t="shared" si="2"/>
        <v>45408</v>
      </c>
      <c r="F32" s="15" t="s">
        <v>21</v>
      </c>
      <c r="G32" s="17" cm="1">
        <f t="array" ref="G32">IFERROR(IF(OR(AND(Masterdata!$B$4&lt;&gt;DATE(1900,1,0), Masterdata!$B$4&lt;$E32), AND(Masterdata!$B$3&lt;&gt;DATE(1900,1,0), Masterdata!$B$3&gt;$E32)), IF($H32&gt;TIME(0,0,0), "tast i næste felt", 0), IF($H32&gt;TIME(0,0,0), "Tast i næste felt", IF($H32&gt;0, 0, _xlfn.IFS($C32="lørdag", 0, $C32="søndag", 0, $F32="N", $V$8)))), "Tast i næste felt")</f>
        <v>0.30833333333333335</v>
      </c>
      <c r="H32" s="17">
        <v>0</v>
      </c>
      <c r="I32" s="16">
        <v>0</v>
      </c>
      <c r="J32" s="16">
        <v>0</v>
      </c>
      <c r="K32" s="50" t="str">
        <f>IF(OR(AND(Masterdata!$B$4&lt;&gt;DATE(1900,1,0),Masterdata!$B$4&lt;$E32),AND(Masterdata!$B$3&lt;&gt;DATE(1900,1,0),Masterdata!$B$3&gt;$E32)), "0:00", IF($H32&gt;TIME(0,0,0), IF($H32-$V$8&gt;=0, TEXT($H32-$V$8, "[t]:mm"), "-"&amp;TEXT(ABS($H32-$V$8), "[t]:mm")), IFERROR(IF($G32-$V$8=0, IF($G32-$V$8&gt;=0, TEXT($G32-$V$8, "[t]:mm"), "-"&amp;TEXT(ABS($G32-$V$8), "[t]:mm")), IF($J32-$I32&gt;=0, TEXT($J32-$I32, "[t]:mm"), "-"&amp;TEXT(ABS($J32-$I32), "[t]:mm"))), IF($J32-$I32-$V$8&gt;=0, TEXT($J32-$I32-$V$8, "[t]:mm"), "-"&amp;TEXT(ABS($J32-$I32-$V$8), "[t]:mm")))))</f>
        <v>0:00</v>
      </c>
      <c r="L32" s="54" t="str">
        <f t="shared" si="3"/>
        <v>0</v>
      </c>
      <c r="M32" s="58" t="str">
        <f t="shared" si="4"/>
        <v>0</v>
      </c>
      <c r="N32" s="51" t="str">
        <f t="shared" si="5"/>
        <v>00</v>
      </c>
      <c r="O32" s="57">
        <f t="shared" si="6"/>
        <v>0</v>
      </c>
      <c r="P32" s="6">
        <f t="shared" si="7"/>
        <v>0</v>
      </c>
      <c r="Q32" s="63"/>
    </row>
    <row r="33" spans="1:17" ht="15.75" x14ac:dyDescent="0.25">
      <c r="A33" s="12">
        <f t="shared" si="1"/>
        <v>17</v>
      </c>
      <c r="B33" s="13">
        <f t="shared" si="8"/>
        <v>45409</v>
      </c>
      <c r="C33" s="14" t="str" cm="1">
        <f t="array" ref="C33">_xlfn.SWITCH(WEEKDAY($D33, 2), 1, "mandag", 2, "tirsdag", 3, "onsdag", 4, "torsdag", 5, "fredag", 6, "lørdag", 7, "søndag")</f>
        <v>lørdag</v>
      </c>
      <c r="D33">
        <f t="shared" si="0"/>
        <v>7</v>
      </c>
      <c r="E33" s="42">
        <f t="shared" si="2"/>
        <v>45409</v>
      </c>
      <c r="F33" s="15" t="s">
        <v>21</v>
      </c>
      <c r="G33" s="17" cm="1">
        <f t="array" ref="G33">IFERROR(IF(OR(AND(Masterdata!$B$4&lt;&gt;DATE(1900,1,0), Masterdata!$B$4&lt;$E33), AND(Masterdata!$B$3&lt;&gt;DATE(1900,1,0), Masterdata!$B$3&gt;$E33)), IF($H33&gt;TIME(0,0,0), "tast i næste felt", 0), IF($H33&gt;TIME(0,0,0), "Tast i næste felt", IF($H33&gt;0, 0, _xlfn.IFS($C33="lørdag", 0, $C33="søndag", 0, $F33="N", $V$8)))), "Tast i næste felt")</f>
        <v>0</v>
      </c>
      <c r="H33" s="17">
        <v>0</v>
      </c>
      <c r="I33" s="16">
        <v>0</v>
      </c>
      <c r="J33" s="16">
        <v>0</v>
      </c>
      <c r="K33" s="50" t="str">
        <f>IF(OR(AND(Masterdata!$B$4&lt;&gt;DATE(1900,1,0),Masterdata!$B$4&lt;$E33),AND(Masterdata!$B$3&lt;&gt;DATE(1900,1,0),Masterdata!$B$3&gt;$E33)), "0:00", IF($H33&gt;TIME(0,0,0), IF($H33-$V$8&gt;=0, TEXT($H33-$V$8, "[t]:mm"), "-"&amp;TEXT(ABS($H33-$V$8), "[t]:mm")), IFERROR(IF($G33-$V$8=0, IF($G33-$V$8&gt;=0, TEXT($G33-$V$8, "[t]:mm"), "-"&amp;TEXT(ABS($G33-$V$8), "[t]:mm")), IF($J33-$I33&gt;=0, TEXT($J33-$I33, "[t]:mm"), "-"&amp;TEXT(ABS($J33-$I33), "[t]:mm"))), IF($J33-$I33-$V$8&gt;=0, TEXT($J33-$I33-$V$8, "[t]:mm"), "-"&amp;TEXT(ABS($J33-$I33-$V$8), "[t]:mm")))))</f>
        <v>0:00</v>
      </c>
      <c r="L33" s="54" t="str">
        <f t="shared" si="3"/>
        <v>0</v>
      </c>
      <c r="M33" s="58" t="str">
        <f t="shared" si="4"/>
        <v>0</v>
      </c>
      <c r="N33" s="51" t="str">
        <f t="shared" si="5"/>
        <v>00</v>
      </c>
      <c r="O33" s="57">
        <f t="shared" si="6"/>
        <v>0</v>
      </c>
      <c r="P33" s="6">
        <f t="shared" si="7"/>
        <v>0</v>
      </c>
      <c r="Q33" s="63"/>
    </row>
    <row r="34" spans="1:17" ht="15.75" x14ac:dyDescent="0.25">
      <c r="A34" s="12">
        <f t="shared" si="1"/>
        <v>17</v>
      </c>
      <c r="B34" s="13">
        <f t="shared" si="8"/>
        <v>45410</v>
      </c>
      <c r="C34" s="14" t="str" cm="1">
        <f t="array" ref="C34">_xlfn.SWITCH(WEEKDAY($D34, 2), 1, "mandag", 2, "tirsdag", 3, "onsdag", 4, "torsdag", 5, "fredag", 6, "lørdag", 7, "søndag")</f>
        <v>søndag</v>
      </c>
      <c r="D34">
        <f t="shared" si="0"/>
        <v>8</v>
      </c>
      <c r="E34" s="42">
        <f t="shared" si="2"/>
        <v>45410</v>
      </c>
      <c r="F34" s="15" t="s">
        <v>21</v>
      </c>
      <c r="G34" s="17" cm="1">
        <f t="array" ref="G34">IFERROR(IF(OR(AND(Masterdata!$B$4&lt;&gt;DATE(1900,1,0), Masterdata!$B$4&lt;$E34), AND(Masterdata!$B$3&lt;&gt;DATE(1900,1,0), Masterdata!$B$3&gt;$E34)), IF($H34&gt;TIME(0,0,0), "tast i næste felt", 0), IF($H34&gt;TIME(0,0,0), "Tast i næste felt", IF($H34&gt;0, 0, _xlfn.IFS($C34="lørdag", 0, $C34="søndag", 0, $F34="N", $V$8)))), "Tast i næste felt")</f>
        <v>0</v>
      </c>
      <c r="H34" s="17">
        <v>0</v>
      </c>
      <c r="I34" s="16">
        <v>0</v>
      </c>
      <c r="J34" s="16">
        <v>0</v>
      </c>
      <c r="K34" s="50" t="str">
        <f>IF(OR(AND(Masterdata!$B$4&lt;&gt;DATE(1900,1,0),Masterdata!$B$4&lt;$E34),AND(Masterdata!$B$3&lt;&gt;DATE(1900,1,0),Masterdata!$B$3&gt;$E34)), "0:00", IF($H34&gt;TIME(0,0,0), IF($H34-$V$8&gt;=0, TEXT($H34-$V$8, "[t]:mm"), "-"&amp;TEXT(ABS($H34-$V$8), "[t]:mm")), IFERROR(IF($G34-$V$8=0, IF($G34-$V$8&gt;=0, TEXT($G34-$V$8, "[t]:mm"), "-"&amp;TEXT(ABS($G34-$V$8), "[t]:mm")), IF($J34-$I34&gt;=0, TEXT($J34-$I34, "[t]:mm"), "-"&amp;TEXT(ABS($J34-$I34), "[t]:mm"))), IF($J34-$I34-$V$8&gt;=0, TEXT($J34-$I34-$V$8, "[t]:mm"), "-"&amp;TEXT(ABS($J34-$I34-$V$8), "[t]:mm")))))</f>
        <v>0:00</v>
      </c>
      <c r="L34" s="54" t="str">
        <f t="shared" si="3"/>
        <v>0</v>
      </c>
      <c r="M34" s="58" t="str">
        <f t="shared" si="4"/>
        <v>0</v>
      </c>
      <c r="N34" s="51" t="str">
        <f t="shared" si="5"/>
        <v>00</v>
      </c>
      <c r="O34" s="57">
        <f t="shared" si="6"/>
        <v>0</v>
      </c>
      <c r="P34" s="6">
        <f t="shared" si="7"/>
        <v>0</v>
      </c>
      <c r="Q34" s="63"/>
    </row>
    <row r="35" spans="1:17" ht="15.75" x14ac:dyDescent="0.25">
      <c r="A35" s="12">
        <f t="shared" si="1"/>
        <v>18</v>
      </c>
      <c r="B35" s="13">
        <f t="shared" si="8"/>
        <v>45411</v>
      </c>
      <c r="C35" s="14" t="str" cm="1">
        <f t="array" ref="C35">_xlfn.SWITCH(WEEKDAY($D35, 2), 1, "mandag", 2, "tirsdag", 3, "onsdag", 4, "torsdag", 5, "fredag", 6, "lørdag", 7, "søndag")</f>
        <v>mandag</v>
      </c>
      <c r="D35">
        <f t="shared" si="0"/>
        <v>2</v>
      </c>
      <c r="E35" s="42">
        <f t="shared" si="2"/>
        <v>45411</v>
      </c>
      <c r="F35" s="15" t="s">
        <v>21</v>
      </c>
      <c r="G35" s="17" cm="1">
        <f t="array" ref="G35">IFERROR(IF(OR(AND(Masterdata!$B$4&lt;&gt;DATE(1900,1,0), Masterdata!$B$4&lt;$E35), AND(Masterdata!$B$3&lt;&gt;DATE(1900,1,0), Masterdata!$B$3&gt;$E35)), IF($H35&gt;TIME(0,0,0), "tast i næste felt", 0), IF($H35&gt;TIME(0,0,0), "Tast i næste felt", IF($H35&gt;0, 0, _xlfn.IFS($C35="lørdag", 0, $C35="søndag", 0, $F35="N", $V$8)))), "Tast i næste felt")</f>
        <v>0.30833333333333335</v>
      </c>
      <c r="H35" s="17">
        <v>0</v>
      </c>
      <c r="I35" s="16">
        <v>0</v>
      </c>
      <c r="J35" s="16">
        <v>0</v>
      </c>
      <c r="K35" s="50" t="str">
        <f>IF(OR(AND(Masterdata!$B$4&lt;&gt;DATE(1900,1,0),Masterdata!$B$4&lt;$E35),AND(Masterdata!$B$3&lt;&gt;DATE(1900,1,0),Masterdata!$B$3&gt;$E35)), "0:00", IF($H35&gt;TIME(0,0,0), IF($H35-$V$8&gt;=0, TEXT($H35-$V$8, "[t]:mm"), "-"&amp;TEXT(ABS($H35-$V$8), "[t]:mm")), IFERROR(IF($G35-$V$8=0, IF($G35-$V$8&gt;=0, TEXT($G35-$V$8, "[t]:mm"), "-"&amp;TEXT(ABS($G35-$V$8), "[t]:mm")), IF($J35-$I35&gt;=0, TEXT($J35-$I35, "[t]:mm"), "-"&amp;TEXT(ABS($J35-$I35), "[t]:mm"))), IF($J35-$I35-$V$8&gt;=0, TEXT($J35-$I35-$V$8, "[t]:mm"), "-"&amp;TEXT(ABS($J35-$I35-$V$8), "[t]:mm")))))</f>
        <v>0:00</v>
      </c>
      <c r="L35" s="54" t="str">
        <f t="shared" si="3"/>
        <v>0</v>
      </c>
      <c r="M35" s="58" t="str">
        <f t="shared" si="4"/>
        <v>0</v>
      </c>
      <c r="N35" s="51" t="str">
        <f t="shared" si="5"/>
        <v>00</v>
      </c>
      <c r="O35" s="57">
        <f t="shared" si="6"/>
        <v>0</v>
      </c>
      <c r="P35" s="6">
        <f t="shared" si="7"/>
        <v>0</v>
      </c>
      <c r="Q35" s="63"/>
    </row>
    <row r="36" spans="1:17" ht="15.75" x14ac:dyDescent="0.25">
      <c r="A36" s="12">
        <f t="shared" si="1"/>
        <v>18</v>
      </c>
      <c r="B36" s="13">
        <f t="shared" si="8"/>
        <v>45412</v>
      </c>
      <c r="C36" s="14" t="str" cm="1">
        <f t="array" ref="C36">_xlfn.SWITCH(WEEKDAY($D36, 2), 1, "mandag", 2, "tirsdag", 3, "onsdag", 4, "torsdag", 5, "fredag", 6, "lørdag", 7, "søndag")</f>
        <v>tirsdag</v>
      </c>
      <c r="D36">
        <f t="shared" si="0"/>
        <v>3</v>
      </c>
      <c r="E36" s="42">
        <f t="shared" si="2"/>
        <v>45412</v>
      </c>
      <c r="F36" s="15" t="s">
        <v>21</v>
      </c>
      <c r="G36" s="17" cm="1">
        <f t="array" ref="G36">IFERROR(IF(OR(AND(Masterdata!$B$4&lt;&gt;DATE(1900,1,0), Masterdata!$B$4&lt;$E36), AND(Masterdata!$B$3&lt;&gt;DATE(1900,1,0), Masterdata!$B$3&gt;$E36)), IF($H36&gt;TIME(0,0,0), "tast i næste felt", 0), IF($H36&gt;TIME(0,0,0), "Tast i næste felt", IF($H36&gt;0, 0, _xlfn.IFS($C36="lørdag", 0, $C36="søndag", 0, $F36="N", $V$8)))), "Tast i næste felt")</f>
        <v>0.30833333333333335</v>
      </c>
      <c r="H36" s="17">
        <v>0</v>
      </c>
      <c r="I36" s="16">
        <v>0</v>
      </c>
      <c r="J36" s="16">
        <v>0</v>
      </c>
      <c r="K36" s="50" t="str">
        <f>IF(OR(AND(Masterdata!$B$4&lt;&gt;DATE(1900,1,0),Masterdata!$B$4&lt;$E36),AND(Masterdata!$B$3&lt;&gt;DATE(1900,1,0),Masterdata!$B$3&gt;$E36)), "0:00", IF($H36&gt;TIME(0,0,0), IF($H36-$V$8&gt;=0, TEXT($H36-$V$8, "[t]:mm"), "-"&amp;TEXT(ABS($H36-$V$8), "[t]:mm")), IFERROR(IF($G36-$V$8=0, IF($G36-$V$8&gt;=0, TEXT($G36-$V$8, "[t]:mm"), "-"&amp;TEXT(ABS($G36-$V$8), "[t]:mm")), IF($J36-$I36&gt;=0, TEXT($J36-$I36, "[t]:mm"), "-"&amp;TEXT(ABS($J36-$I36), "[t]:mm"))), IF($J36-$I36-$V$8&gt;=0, TEXT($J36-$I36-$V$8, "[t]:mm"), "-"&amp;TEXT(ABS($J36-$I36-$V$8), "[t]:mm")))))</f>
        <v>0:00</v>
      </c>
      <c r="L36" s="54" t="str">
        <f t="shared" si="3"/>
        <v>0</v>
      </c>
      <c r="M36" s="58" t="str">
        <f t="shared" si="4"/>
        <v>0</v>
      </c>
      <c r="N36" s="51" t="str">
        <f t="shared" si="5"/>
        <v>00</v>
      </c>
      <c r="O36" s="57">
        <f t="shared" si="6"/>
        <v>0</v>
      </c>
      <c r="P36" s="6">
        <f t="shared" si="7"/>
        <v>0</v>
      </c>
      <c r="Q36" s="63"/>
    </row>
    <row r="37" spans="1:17" x14ac:dyDescent="0.25">
      <c r="K37" s="8"/>
      <c r="P37" s="6"/>
    </row>
  </sheetData>
  <conditionalFormatting sqref="A7:J36">
    <cfRule type="expression" dxfId="42" priority="2">
      <formula>OR($C7="lørdag", $C7="søndag")</formula>
    </cfRule>
  </conditionalFormatting>
  <conditionalFormatting sqref="G7:G36">
    <cfRule type="expression" dxfId="41" priority="4">
      <formula>AND($F7="N", NOT(OR($C7="lørdag", $C7="søndag")))</formula>
    </cfRule>
  </conditionalFormatting>
  <conditionalFormatting sqref="H7:J36">
    <cfRule type="expression" dxfId="40" priority="1">
      <formula>OR($F7="N")</formula>
    </cfRule>
    <cfRule type="expression" dxfId="39" priority="3">
      <formula>$F7="R"</formula>
    </cfRule>
  </conditionalFormatting>
  <dataValidations count="1">
    <dataValidation type="list" allowBlank="1" showInputMessage="1" showErrorMessage="1" sqref="F7:F36" xr:uid="{A3CDD551-6857-433D-96B1-21C5E3059315}">
      <formula1>$Q$2:$Q$3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EC71-B8BD-46A3-9252-8F5FFF468FFA}">
  <dimension ref="A1:X38"/>
  <sheetViews>
    <sheetView zoomScale="70" zoomScaleNormal="70" workbookViewId="0">
      <selection activeCell="G7" sqref="G7"/>
    </sheetView>
  </sheetViews>
  <sheetFormatPr defaultRowHeight="15" outlineLevelCol="1" x14ac:dyDescent="0.25"/>
  <cols>
    <col min="1" max="1" width="11.28515625" customWidth="1"/>
    <col min="2" max="2" width="14.140625" customWidth="1"/>
    <col min="3" max="3" width="11.28515625" customWidth="1"/>
    <col min="4" max="4" width="15" hidden="1" customWidth="1"/>
    <col min="5" max="5" width="12.85546875" hidden="1" customWidth="1"/>
    <col min="6" max="6" width="11.28515625" customWidth="1"/>
    <col min="7" max="7" width="16.28515625" bestFit="1" customWidth="1"/>
    <col min="8" max="8" width="17.85546875" customWidth="1"/>
    <col min="9" max="11" width="11.28515625" customWidth="1"/>
    <col min="12" max="13" width="11.140625" hidden="1" customWidth="1" outlineLevel="1"/>
    <col min="14" max="14" width="90.7109375" hidden="1" customWidth="1" outlineLevel="1"/>
    <col min="15" max="15" width="27.28515625" hidden="1" customWidth="1" outlineLevel="1"/>
    <col min="16" max="16" width="12" hidden="1" customWidth="1" outlineLevel="1"/>
    <col min="17" max="17" width="14.14062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36" t="s">
        <v>18</v>
      </c>
      <c r="B1" s="37">
        <v>37</v>
      </c>
      <c r="Q1" s="45" t="s">
        <v>19</v>
      </c>
      <c r="R1" s="46" t="s">
        <v>20</v>
      </c>
    </row>
    <row r="2" spans="1:24" ht="31.5" x14ac:dyDescent="0.25">
      <c r="A2" s="34" t="s">
        <v>4</v>
      </c>
      <c r="B2" s="59">
        <f>SUM(P7:P37)</f>
        <v>0</v>
      </c>
      <c r="Q2" s="47" t="s">
        <v>21</v>
      </c>
      <c r="R2" s="49" t="s">
        <v>22</v>
      </c>
    </row>
    <row r="3" spans="1:24" ht="63" x14ac:dyDescent="0.25">
      <c r="A3" s="39" t="s">
        <v>0</v>
      </c>
      <c r="B3" s="40">
        <f>B7</f>
        <v>45413</v>
      </c>
      <c r="Q3" s="48" t="s">
        <v>23</v>
      </c>
      <c r="R3" s="61" t="s">
        <v>24</v>
      </c>
    </row>
    <row r="4" spans="1:24" ht="16.5" thickBot="1" x14ac:dyDescent="0.3">
      <c r="A4" s="35" t="s">
        <v>17</v>
      </c>
      <c r="B4" s="41">
        <f>B7</f>
        <v>45413</v>
      </c>
      <c r="Q4" s="44" t="s">
        <v>25</v>
      </c>
      <c r="R4" s="43" t="s">
        <v>26</v>
      </c>
    </row>
    <row r="5" spans="1:24" ht="15.75" thickBot="1" x14ac:dyDescent="0.3"/>
    <row r="6" spans="1:24" ht="21.75" customHeight="1" thickBot="1" x14ac:dyDescent="0.3">
      <c r="A6" s="9" t="s">
        <v>27</v>
      </c>
      <c r="B6" s="10" t="s">
        <v>28</v>
      </c>
      <c r="C6" s="10" t="s">
        <v>29</v>
      </c>
      <c r="D6" s="10" t="s">
        <v>30</v>
      </c>
      <c r="E6" s="10" t="s">
        <v>31</v>
      </c>
      <c r="F6" s="10" t="s">
        <v>19</v>
      </c>
      <c r="G6" s="10" t="s">
        <v>32</v>
      </c>
      <c r="H6" s="10" t="s">
        <v>33</v>
      </c>
      <c r="I6" s="11" t="s">
        <v>34</v>
      </c>
      <c r="J6" s="11" t="s">
        <v>35</v>
      </c>
      <c r="K6" s="10" t="s">
        <v>36</v>
      </c>
      <c r="L6" s="55" t="s">
        <v>37</v>
      </c>
      <c r="M6" s="56" t="s">
        <v>38</v>
      </c>
      <c r="N6" s="56" t="s">
        <v>39</v>
      </c>
      <c r="O6" s="56"/>
      <c r="Q6" s="10" t="s">
        <v>40</v>
      </c>
      <c r="U6" t="s">
        <v>41</v>
      </c>
      <c r="V6">
        <v>5</v>
      </c>
    </row>
    <row r="7" spans="1:24" ht="15.75" x14ac:dyDescent="0.25">
      <c r="A7" s="12">
        <f>WEEKNUM($B7,21)</f>
        <v>18</v>
      </c>
      <c r="B7" s="13">
        <f>DATE(Masterdata!$B$5,5,1)</f>
        <v>45413</v>
      </c>
      <c r="C7" s="14" t="str" cm="1">
        <f t="array" ref="C7">_xlfn.SWITCH(WEEKDAY($D7, 2), 1, "mandag", 2, "tirsdag", 3, "onsdag", 4, "torsdag", 5, "fredag", 6, "lørdag", 7, "søndag")</f>
        <v>onsdag</v>
      </c>
      <c r="D7">
        <f t="shared" ref="D7:D37" si="0">WEEKDAY($B7, 2)+1</f>
        <v>4</v>
      </c>
      <c r="E7" s="42">
        <f>$B7</f>
        <v>45413</v>
      </c>
      <c r="F7" s="15" t="s">
        <v>21</v>
      </c>
      <c r="G7" s="17" cm="1">
        <f t="array" ref="G7">IFERROR(IF(OR(AND(Masterdata!$B$4&lt;&gt;DATE(1900,1,0), Masterdata!$B$4&lt;$E7), AND(Masterdata!$B$3&lt;&gt;DATE(1900,1,0), Masterdata!$B$3&gt;$E7)), IF($H7&gt;TIME(0,0,0), "tast i næste felt", 0), IF($H7&gt;TIME(0,0,0), "Tast i næste felt", IF($H7&gt;0, 0, _xlfn.IFS($C7="lørdag", 0, $C7="søndag", 0, $F7="N", $V$8)))), "Tast i næste felt")</f>
        <v>0.30833333333333335</v>
      </c>
      <c r="H7" s="17">
        <v>0</v>
      </c>
      <c r="I7" s="16">
        <v>0</v>
      </c>
      <c r="J7" s="16">
        <v>0</v>
      </c>
      <c r="K7" s="60" t="str">
        <f>IF(OR(AND(Masterdata!$B$4&lt;&gt;DATE(1900,1,0),Masterdata!$B$4&lt;$E7),AND(Masterdata!$B$3&lt;&gt;DATE(1900,1,0),Masterdata!$B$3&gt;$E7)), "0:00", IF($H7&gt;TIME(0,0,0), IF($H7-$V$8&gt;=0, TEXT($H7-$V$8, "[t]:mm"), "-"&amp;TEXT(ABS($H7-$V$8), "[t]:mm")), IFERROR(IF($G7-$V$8=0, IF($G7-$V$8&gt;=0, TEXT($G7-$V$8, "[t]:mm"), "-"&amp;TEXT(ABS($G7-$V$8), "[t]:mm")), IF($J7-$I7&gt;=0, TEXT($J7-$I7, "[t]:mm"), "-"&amp;TEXT(ABS($J7-$I7), "[t]:mm"))), IF($J7-$I7-$V$8&gt;=0, TEXT($J7-$I7-$V$8, "[t]:mm"), "-"&amp;TEXT(ABS($J7-$I7-$V$8), "[t]:mm")))))</f>
        <v>0:00</v>
      </c>
      <c r="L7" s="54" t="str">
        <f>LEFT(K7,1)</f>
        <v>0</v>
      </c>
      <c r="M7" s="58" t="str">
        <f>IF($L7="-",LEFT($K7,2),LEFT($K7,1))</f>
        <v>0</v>
      </c>
      <c r="N7" s="51" t="str">
        <f>IF($L7="-",MID($K7,4,2),MID($K7,3,2))</f>
        <v>00</v>
      </c>
      <c r="O7" s="57">
        <f>N7/60</f>
        <v>0</v>
      </c>
      <c r="P7" s="6">
        <f>IF(L7="-",M7-O7,M7+O7)</f>
        <v>0</v>
      </c>
      <c r="Q7" s="62"/>
      <c r="R7" s="53"/>
      <c r="U7" t="s">
        <v>42</v>
      </c>
      <c r="V7" s="3">
        <f>B1/V6</f>
        <v>7.4</v>
      </c>
      <c r="W7">
        <v>0</v>
      </c>
      <c r="X7" s="8"/>
    </row>
    <row r="8" spans="1:24" ht="15.75" x14ac:dyDescent="0.25">
      <c r="A8" s="12">
        <f t="shared" ref="A8:A37" si="1">WEEKNUM($B8,21)</f>
        <v>18</v>
      </c>
      <c r="B8" s="13">
        <f>B7+1</f>
        <v>45414</v>
      </c>
      <c r="C8" s="14" t="str" cm="1">
        <f t="array" ref="C8">_xlfn.SWITCH(WEEKDAY($D8, 2), 1, "mandag", 2, "tirsdag", 3, "onsdag", 4, "torsdag", 5, "fredag", 6, "lørdag", 7, "søndag")</f>
        <v>torsdag</v>
      </c>
      <c r="D8">
        <f t="shared" si="0"/>
        <v>5</v>
      </c>
      <c r="E8" s="42">
        <f t="shared" ref="E8:E37" si="2">$B8</f>
        <v>45414</v>
      </c>
      <c r="F8" s="15" t="s">
        <v>21</v>
      </c>
      <c r="G8" s="17" cm="1">
        <f t="array" ref="G8">IFERROR(IF(OR(AND(Masterdata!$B$4&lt;&gt;DATE(1900,1,0), Masterdata!$B$4&lt;$E8), AND(Masterdata!$B$3&lt;&gt;DATE(1900,1,0), Masterdata!$B$3&gt;$E8)), IF($H8&gt;TIME(0,0,0), "tast i næste felt", 0), IF($H8&gt;TIME(0,0,0), "Tast i næste felt", IF($H8&gt;0, 0, _xlfn.IFS($C8="lørdag", 0, $C8="søndag", 0, $F8="N", $V$8)))), "Tast i næste felt")</f>
        <v>0.30833333333333335</v>
      </c>
      <c r="H8" s="17">
        <v>0</v>
      </c>
      <c r="I8" s="16">
        <v>0</v>
      </c>
      <c r="J8" s="16">
        <v>0</v>
      </c>
      <c r="K8" s="50" t="str">
        <f>IF(OR(AND(Masterdata!$B$4&lt;&gt;DATE(1900,1,0),Masterdata!$B$4&lt;$E8),AND(Masterdata!$B$3&lt;&gt;DATE(1900,1,0),Masterdata!$B$3&gt;$E8)), "0:00", IF($H8&gt;TIME(0,0,0), IF($H8-$V$8&gt;=0, TEXT($H8-$V$8, "[t]:mm"), "-"&amp;TEXT(ABS($H8-$V$8), "[t]:mm")), IFERROR(IF($G8-$V$8=0, IF($G8-$V$8&gt;=0, TEXT($G8-$V$8, "[t]:mm"), "-"&amp;TEXT(ABS($G8-$V$8), "[t]:mm")), IF($J8-$I8&gt;=0, TEXT($J8-$I8, "[t]:mm"), "-"&amp;TEXT(ABS($J8-$I8), "[t]:mm"))), IF($J8-$I8-$V$8&gt;=0, TEXT($J8-$I8-$V$8, "[t]:mm"), "-"&amp;TEXT(ABS($J8-$I8-$V$8), "[t]:mm")))))</f>
        <v>0:00</v>
      </c>
      <c r="L8" s="54" t="str">
        <f t="shared" ref="L8:L37" si="3">LEFT(K8,1)</f>
        <v>0</v>
      </c>
      <c r="M8" s="58" t="str">
        <f t="shared" ref="M8:M37" si="4">IF($L8="-",LEFT($K8,2),LEFT($K8,1))</f>
        <v>0</v>
      </c>
      <c r="N8" s="51" t="str">
        <f t="shared" ref="N8:N37" si="5">IF($L8="-",MID($K8,4,2),MID($K8,3,2))</f>
        <v>00</v>
      </c>
      <c r="O8" s="57">
        <f t="shared" ref="O8:O37" si="6">N8/60</f>
        <v>0</v>
      </c>
      <c r="P8" s="6">
        <f t="shared" ref="P8:P37" si="7">IF(L8="-",M8-O8,M8+O8)</f>
        <v>0</v>
      </c>
      <c r="Q8" s="63"/>
      <c r="U8" t="s">
        <v>43</v>
      </c>
      <c r="V8" s="8">
        <f>V7/24</f>
        <v>0.30833333333333335</v>
      </c>
    </row>
    <row r="9" spans="1:24" ht="15.75" x14ac:dyDescent="0.25">
      <c r="A9" s="12">
        <f t="shared" si="1"/>
        <v>18</v>
      </c>
      <c r="B9" s="13">
        <f t="shared" ref="B9:B37" si="8">B8+1</f>
        <v>45415</v>
      </c>
      <c r="C9" s="14" t="str" cm="1">
        <f t="array" ref="C9">_xlfn.SWITCH(WEEKDAY($D9, 2), 1, "mandag", 2, "tirsdag", 3, "onsdag", 4, "torsdag", 5, "fredag", 6, "lørdag", 7, "søndag")</f>
        <v>fredag</v>
      </c>
      <c r="D9">
        <f t="shared" si="0"/>
        <v>6</v>
      </c>
      <c r="E9" s="42">
        <f t="shared" si="2"/>
        <v>45415</v>
      </c>
      <c r="F9" s="15" t="s">
        <v>21</v>
      </c>
      <c r="G9" s="17" cm="1">
        <f t="array" ref="G9">IFERROR(IF(OR(AND(Masterdata!$B$4&lt;&gt;DATE(1900,1,0), Masterdata!$B$4&lt;$E9), AND(Masterdata!$B$3&lt;&gt;DATE(1900,1,0), Masterdata!$B$3&gt;$E9)), IF($H9&gt;TIME(0,0,0), "tast i næste felt", 0), IF($H9&gt;TIME(0,0,0), "Tast i næste felt", IF($H9&gt;0, 0, _xlfn.IFS($C9="lørdag", 0, $C9="søndag", 0, $F9="N", $V$8)))), "Tast i næste felt")</f>
        <v>0.30833333333333335</v>
      </c>
      <c r="H9" s="17">
        <v>0</v>
      </c>
      <c r="I9" s="16">
        <v>0</v>
      </c>
      <c r="J9" s="16">
        <v>0</v>
      </c>
      <c r="K9" s="50" t="str">
        <f>IF(OR(AND(Masterdata!$B$4&lt;&gt;DATE(1900,1,0),Masterdata!$B$4&lt;$E9),AND(Masterdata!$B$3&lt;&gt;DATE(1900,1,0),Masterdata!$B$3&gt;$E9)), "0:00", IF($H9&gt;TIME(0,0,0), IF($H9-$V$8&gt;=0, TEXT($H9-$V$8, "[t]:mm"), "-"&amp;TEXT(ABS($H9-$V$8), "[t]:mm")), IFERROR(IF($G9-$V$8=0, IF($G9-$V$8&gt;=0, TEXT($G9-$V$8, "[t]:mm"), "-"&amp;TEXT(ABS($G9-$V$8), "[t]:mm")), IF($J9-$I9&gt;=0, TEXT($J9-$I9, "[t]:mm"), "-"&amp;TEXT(ABS($J9-$I9), "[t]:mm"))), IF($J9-$I9-$V$8&gt;=0, TEXT($J9-$I9-$V$8, "[t]:mm"), "-"&amp;TEXT(ABS($J9-$I9-$V$8), "[t]:mm")))))</f>
        <v>0:00</v>
      </c>
      <c r="L9" s="54" t="str">
        <f t="shared" si="3"/>
        <v>0</v>
      </c>
      <c r="M9" s="58" t="str">
        <f t="shared" si="4"/>
        <v>0</v>
      </c>
      <c r="N9" s="51" t="str">
        <f t="shared" si="5"/>
        <v>00</v>
      </c>
      <c r="O9" s="57">
        <f t="shared" si="6"/>
        <v>0</v>
      </c>
      <c r="P9" s="6">
        <f t="shared" si="7"/>
        <v>0</v>
      </c>
      <c r="Q9" s="63"/>
      <c r="S9" t="s">
        <v>21</v>
      </c>
      <c r="T9" t="s">
        <v>44</v>
      </c>
      <c r="U9" t="s">
        <v>45</v>
      </c>
      <c r="V9" s="6">
        <f>(B1/37)*160.33</f>
        <v>160.33000000000001</v>
      </c>
    </row>
    <row r="10" spans="1:24" ht="15.75" x14ac:dyDescent="0.25">
      <c r="A10" s="12">
        <f t="shared" si="1"/>
        <v>18</v>
      </c>
      <c r="B10" s="13">
        <f t="shared" si="8"/>
        <v>45416</v>
      </c>
      <c r="C10" s="14" t="str" cm="1">
        <f t="array" ref="C10">_xlfn.SWITCH(WEEKDAY($D10, 2), 1, "mandag", 2, "tirsdag", 3, "onsdag", 4, "torsdag", 5, "fredag", 6, "lørdag", 7, "søndag")</f>
        <v>lørdag</v>
      </c>
      <c r="D10">
        <f t="shared" si="0"/>
        <v>7</v>
      </c>
      <c r="E10" s="42">
        <f t="shared" si="2"/>
        <v>45416</v>
      </c>
      <c r="F10" s="15" t="s">
        <v>21</v>
      </c>
      <c r="G10" s="17" cm="1">
        <f t="array" ref="G10">IFERROR(IF(OR(AND(Masterdata!$B$4&lt;&gt;DATE(1900,1,0), Masterdata!$B$4&lt;$E10), AND(Masterdata!$B$3&lt;&gt;DATE(1900,1,0), Masterdata!$B$3&gt;$E10)), IF($H10&gt;TIME(0,0,0), "tast i næste felt", 0), IF($H10&gt;TIME(0,0,0), "Tast i næste felt", IF($H10&gt;0, 0, _xlfn.IFS($C10="lørdag", 0, $C10="søndag", 0, $F10="N", $V$8)))), "Tast i næste felt")</f>
        <v>0</v>
      </c>
      <c r="H10" s="17">
        <v>0</v>
      </c>
      <c r="I10" s="16">
        <v>0</v>
      </c>
      <c r="J10" s="16">
        <v>0</v>
      </c>
      <c r="K10" s="50" t="str">
        <f>IF(OR(AND(Masterdata!$B$4&lt;&gt;DATE(1900,1,0),Masterdata!$B$4&lt;$E10),AND(Masterdata!$B$3&lt;&gt;DATE(1900,1,0),Masterdata!$B$3&gt;$E10)), "0:00", IF($H10&gt;TIME(0,0,0), IF($H10-$V$8&gt;=0, TEXT($H10-$V$8, "[t]:mm"), "-"&amp;TEXT(ABS($H10-$V$8), "[t]:mm")), IFERROR(IF($G10-$V$8=0, IF($G10-$V$8&gt;=0, TEXT($G10-$V$8, "[t]:mm"), "-"&amp;TEXT(ABS($G10-$V$8), "[t]:mm")), IF($J10-$I10&gt;=0, TEXT($J10-$I10, "[t]:mm"), "-"&amp;TEXT(ABS($J10-$I10), "[t]:mm"))), IF($J10-$I10-$V$8&gt;=0, TEXT($J10-$I10-$V$8, "[t]:mm"), "-"&amp;TEXT(ABS($J10-$I10-$V$8), "[t]:mm")))))</f>
        <v>0:00</v>
      </c>
      <c r="L10" s="54" t="str">
        <f t="shared" si="3"/>
        <v>0</v>
      </c>
      <c r="M10" s="58" t="str">
        <f t="shared" si="4"/>
        <v>0</v>
      </c>
      <c r="N10" s="51" t="str">
        <f t="shared" si="5"/>
        <v>00</v>
      </c>
      <c r="O10" s="57">
        <f t="shared" si="6"/>
        <v>0</v>
      </c>
      <c r="P10" s="6">
        <f t="shared" si="7"/>
        <v>0</v>
      </c>
      <c r="Q10" s="63"/>
    </row>
    <row r="11" spans="1:24" ht="15.75" x14ac:dyDescent="0.25">
      <c r="A11" s="12">
        <f t="shared" si="1"/>
        <v>18</v>
      </c>
      <c r="B11" s="13">
        <f t="shared" si="8"/>
        <v>45417</v>
      </c>
      <c r="C11" s="14" t="str" cm="1">
        <f t="array" ref="C11">_xlfn.SWITCH(WEEKDAY($D11, 2), 1, "mandag", 2, "tirsdag", 3, "onsdag", 4, "torsdag", 5, "fredag", 6, "lørdag", 7, "søndag")</f>
        <v>søndag</v>
      </c>
      <c r="D11">
        <f t="shared" si="0"/>
        <v>8</v>
      </c>
      <c r="E11" s="42">
        <f t="shared" si="2"/>
        <v>45417</v>
      </c>
      <c r="F11" s="15" t="s">
        <v>21</v>
      </c>
      <c r="G11" s="17" cm="1">
        <f t="array" ref="G11">IFERROR(IF(OR(AND(Masterdata!$B$4&lt;&gt;DATE(1900,1,0), Masterdata!$B$4&lt;$E11), AND(Masterdata!$B$3&lt;&gt;DATE(1900,1,0), Masterdata!$B$3&gt;$E11)), IF($H11&gt;TIME(0,0,0), "tast i næste felt", 0), IF($H11&gt;TIME(0,0,0), "Tast i næste felt", IF($H11&gt;0, 0, _xlfn.IFS($C11="lørdag", 0, $C11="søndag", 0, $F11="N", $V$8)))), "Tast i næste felt")</f>
        <v>0</v>
      </c>
      <c r="H11" s="17">
        <v>0</v>
      </c>
      <c r="I11" s="16">
        <v>0</v>
      </c>
      <c r="J11" s="16">
        <v>0</v>
      </c>
      <c r="K11" s="50" t="str">
        <f>IF(OR(AND(Masterdata!$B$4&lt;&gt;DATE(1900,1,0),Masterdata!$B$4&lt;$E11),AND(Masterdata!$B$3&lt;&gt;DATE(1900,1,0),Masterdata!$B$3&gt;$E11)), "0:00", IF($H11&gt;TIME(0,0,0), IF($H11-$V$8&gt;=0, TEXT($H11-$V$8, "[t]:mm"), "-"&amp;TEXT(ABS($H11-$V$8), "[t]:mm")), IFERROR(IF($G11-$V$8=0, IF($G11-$V$8&gt;=0, TEXT($G11-$V$8, "[t]:mm"), "-"&amp;TEXT(ABS($G11-$V$8), "[t]:mm")), IF($J11-$I11&gt;=0, TEXT($J11-$I11, "[t]:mm"), "-"&amp;TEXT(ABS($J11-$I11), "[t]:mm"))), IF($J11-$I11-$V$8&gt;=0, TEXT($J11-$I11-$V$8, "[t]:mm"), "-"&amp;TEXT(ABS($J11-$I11-$V$8), "[t]:mm")))))</f>
        <v>0:00</v>
      </c>
      <c r="L11" s="54" t="str">
        <f t="shared" si="3"/>
        <v>0</v>
      </c>
      <c r="M11" s="58" t="str">
        <f t="shared" si="4"/>
        <v>0</v>
      </c>
      <c r="N11" s="51" t="str">
        <f t="shared" si="5"/>
        <v>00</v>
      </c>
      <c r="O11" s="57">
        <f t="shared" si="6"/>
        <v>0</v>
      </c>
      <c r="P11" s="6">
        <f t="shared" si="7"/>
        <v>0</v>
      </c>
      <c r="Q11" s="63"/>
      <c r="V11" s="6"/>
    </row>
    <row r="12" spans="1:24" ht="15.75" x14ac:dyDescent="0.25">
      <c r="A12" s="12">
        <f t="shared" si="1"/>
        <v>19</v>
      </c>
      <c r="B12" s="13">
        <f t="shared" si="8"/>
        <v>45418</v>
      </c>
      <c r="C12" s="14" t="str" cm="1">
        <f t="array" ref="C12">_xlfn.SWITCH(WEEKDAY($D12, 2), 1, "mandag", 2, "tirsdag", 3, "onsdag", 4, "torsdag", 5, "fredag", 6, "lørdag", 7, "søndag")</f>
        <v>mandag</v>
      </c>
      <c r="D12">
        <f t="shared" si="0"/>
        <v>2</v>
      </c>
      <c r="E12" s="42">
        <f t="shared" si="2"/>
        <v>45418</v>
      </c>
      <c r="F12" s="15" t="s">
        <v>21</v>
      </c>
      <c r="G12" s="17" cm="1">
        <f t="array" ref="G12">IFERROR(IF(OR(AND(Masterdata!$B$4&lt;&gt;DATE(1900,1,0), Masterdata!$B$4&lt;$E12), AND(Masterdata!$B$3&lt;&gt;DATE(1900,1,0), Masterdata!$B$3&gt;$E12)), IF($H12&gt;TIME(0,0,0), "tast i næste felt", 0), IF($H12&gt;TIME(0,0,0), "Tast i næste felt", IF($H12&gt;0, 0, _xlfn.IFS($C12="lørdag", 0, $C12="søndag", 0, $F12="N", $V$8)))), "Tast i næste felt")</f>
        <v>0.30833333333333335</v>
      </c>
      <c r="H12" s="17">
        <v>0</v>
      </c>
      <c r="I12" s="16">
        <v>0</v>
      </c>
      <c r="J12" s="16">
        <v>0</v>
      </c>
      <c r="K12" s="50" t="str">
        <f>IF(OR(AND(Masterdata!$B$4&lt;&gt;DATE(1900,1,0),Masterdata!$B$4&lt;$E12),AND(Masterdata!$B$3&lt;&gt;DATE(1900,1,0),Masterdata!$B$3&gt;$E12)), "0:00", IF($H12&gt;TIME(0,0,0), IF($H12-$V$8&gt;=0, TEXT($H12-$V$8, "[t]:mm"), "-"&amp;TEXT(ABS($H12-$V$8), "[t]:mm")), IFERROR(IF($G12-$V$8=0, IF($G12-$V$8&gt;=0, TEXT($G12-$V$8, "[t]:mm"), "-"&amp;TEXT(ABS($G12-$V$8), "[t]:mm")), IF($J12-$I12&gt;=0, TEXT($J12-$I12, "[t]:mm"), "-"&amp;TEXT(ABS($J12-$I12), "[t]:mm"))), IF($J12-$I12-$V$8&gt;=0, TEXT($J12-$I12-$V$8, "[t]:mm"), "-"&amp;TEXT(ABS($J12-$I12-$V$8), "[t]:mm")))))</f>
        <v>0:00</v>
      </c>
      <c r="L12" s="54" t="str">
        <f t="shared" si="3"/>
        <v>0</v>
      </c>
      <c r="M12" s="58" t="str">
        <f t="shared" si="4"/>
        <v>0</v>
      </c>
      <c r="N12" s="51" t="str">
        <f t="shared" si="5"/>
        <v>00</v>
      </c>
      <c r="O12" s="57">
        <f t="shared" si="6"/>
        <v>0</v>
      </c>
      <c r="P12" s="6">
        <f t="shared" si="7"/>
        <v>0</v>
      </c>
      <c r="Q12" s="63"/>
      <c r="V12" s="38"/>
    </row>
    <row r="13" spans="1:24" ht="15.75" x14ac:dyDescent="0.25">
      <c r="A13" s="12">
        <f t="shared" si="1"/>
        <v>19</v>
      </c>
      <c r="B13" s="13">
        <f t="shared" si="8"/>
        <v>45419</v>
      </c>
      <c r="C13" s="14" t="str" cm="1">
        <f t="array" ref="C13">_xlfn.SWITCH(WEEKDAY($D13, 2), 1, "mandag", 2, "tirsdag", 3, "onsdag", 4, "torsdag", 5, "fredag", 6, "lørdag", 7, "søndag")</f>
        <v>tirsdag</v>
      </c>
      <c r="D13">
        <f t="shared" si="0"/>
        <v>3</v>
      </c>
      <c r="E13" s="42">
        <f t="shared" si="2"/>
        <v>45419</v>
      </c>
      <c r="F13" s="15" t="s">
        <v>21</v>
      </c>
      <c r="G13" s="17" cm="1">
        <f t="array" ref="G13">IFERROR(IF(OR(AND(Masterdata!$B$4&lt;&gt;DATE(1900,1,0), Masterdata!$B$4&lt;$E13), AND(Masterdata!$B$3&lt;&gt;DATE(1900,1,0), Masterdata!$B$3&gt;$E13)), IF($H13&gt;TIME(0,0,0), "tast i næste felt", 0), IF($H13&gt;TIME(0,0,0), "Tast i næste felt", IF($H13&gt;0, 0, _xlfn.IFS($C13="lørdag", 0, $C13="søndag", 0, $F13="N", $V$8)))), "Tast i næste felt")</f>
        <v>0.30833333333333335</v>
      </c>
      <c r="H13" s="17">
        <v>0</v>
      </c>
      <c r="I13" s="16">
        <v>0</v>
      </c>
      <c r="J13" s="16">
        <v>0</v>
      </c>
      <c r="K13" s="50" t="str">
        <f>IF(OR(AND(Masterdata!$B$4&lt;&gt;DATE(1900,1,0),Masterdata!$B$4&lt;$E13),AND(Masterdata!$B$3&lt;&gt;DATE(1900,1,0),Masterdata!$B$3&gt;$E13)), "0:00", IF($H13&gt;TIME(0,0,0), IF($H13-$V$8&gt;=0, TEXT($H13-$V$8, "[t]:mm"), "-"&amp;TEXT(ABS($H13-$V$8), "[t]:mm")), IFERROR(IF($G13-$V$8=0, IF($G13-$V$8&gt;=0, TEXT($G13-$V$8, "[t]:mm"), "-"&amp;TEXT(ABS($G13-$V$8), "[t]:mm")), IF($J13-$I13&gt;=0, TEXT($J13-$I13, "[t]:mm"), "-"&amp;TEXT(ABS($J13-$I13), "[t]:mm"))), IF($J13-$I13-$V$8&gt;=0, TEXT($J13-$I13-$V$8, "[t]:mm"), "-"&amp;TEXT(ABS($J13-$I13-$V$8), "[t]:mm")))))</f>
        <v>0:00</v>
      </c>
      <c r="L13" s="54" t="str">
        <f t="shared" si="3"/>
        <v>0</v>
      </c>
      <c r="M13" s="58" t="str">
        <f t="shared" si="4"/>
        <v>0</v>
      </c>
      <c r="N13" s="51" t="str">
        <f t="shared" si="5"/>
        <v>00</v>
      </c>
      <c r="O13" s="57">
        <f t="shared" si="6"/>
        <v>0</v>
      </c>
      <c r="P13" s="6">
        <f t="shared" si="7"/>
        <v>0</v>
      </c>
      <c r="Q13" s="63"/>
    </row>
    <row r="14" spans="1:24" ht="15.75" x14ac:dyDescent="0.25">
      <c r="A14" s="12">
        <f t="shared" si="1"/>
        <v>19</v>
      </c>
      <c r="B14" s="13">
        <f t="shared" si="8"/>
        <v>45420</v>
      </c>
      <c r="C14" s="14" t="str" cm="1">
        <f t="array" ref="C14">_xlfn.SWITCH(WEEKDAY($D14, 2), 1, "mandag", 2, "tirsdag", 3, "onsdag", 4, "torsdag", 5, "fredag", 6, "lørdag", 7, "søndag")</f>
        <v>onsdag</v>
      </c>
      <c r="D14">
        <f t="shared" si="0"/>
        <v>4</v>
      </c>
      <c r="E14" s="42">
        <f t="shared" si="2"/>
        <v>45420</v>
      </c>
      <c r="F14" s="15" t="s">
        <v>21</v>
      </c>
      <c r="G14" s="17" cm="1">
        <f t="array" ref="G14">IFERROR(IF(OR(AND(Masterdata!$B$4&lt;&gt;DATE(1900,1,0), Masterdata!$B$4&lt;$E14), AND(Masterdata!$B$3&lt;&gt;DATE(1900,1,0), Masterdata!$B$3&gt;$E14)), IF($H14&gt;TIME(0,0,0), "tast i næste felt", 0), IF($H14&gt;TIME(0,0,0), "Tast i næste felt", IF($H14&gt;0, 0, _xlfn.IFS($C14="lørdag", 0, $C14="søndag", 0, $F14="N", $V$8)))), "Tast i næste felt")</f>
        <v>0.30833333333333335</v>
      </c>
      <c r="H14" s="17">
        <v>0</v>
      </c>
      <c r="I14" s="16">
        <v>0</v>
      </c>
      <c r="J14" s="16">
        <v>0</v>
      </c>
      <c r="K14" s="50" t="str">
        <f>IF(OR(AND(Masterdata!$B$4&lt;&gt;DATE(1900,1,0),Masterdata!$B$4&lt;$E14),AND(Masterdata!$B$3&lt;&gt;DATE(1900,1,0),Masterdata!$B$3&gt;$E14)), "0:00", IF($H14&gt;TIME(0,0,0), IF($H14-$V$8&gt;=0, TEXT($H14-$V$8, "[t]:mm"), "-"&amp;TEXT(ABS($H14-$V$8), "[t]:mm")), IFERROR(IF($G14-$V$8=0, IF($G14-$V$8&gt;=0, TEXT($G14-$V$8, "[t]:mm"), "-"&amp;TEXT(ABS($G14-$V$8), "[t]:mm")), IF($J14-$I14&gt;=0, TEXT($J14-$I14, "[t]:mm"), "-"&amp;TEXT(ABS($J14-$I14), "[t]:mm"))), IF($J14-$I14-$V$8&gt;=0, TEXT($J14-$I14-$V$8, "[t]:mm"), "-"&amp;TEXT(ABS($J14-$I14-$V$8), "[t]:mm")))))</f>
        <v>0:00</v>
      </c>
      <c r="L14" s="54" t="str">
        <f t="shared" si="3"/>
        <v>0</v>
      </c>
      <c r="M14" s="58" t="str">
        <f t="shared" si="4"/>
        <v>0</v>
      </c>
      <c r="N14" s="51" t="str">
        <f t="shared" si="5"/>
        <v>00</v>
      </c>
      <c r="O14" s="57">
        <f t="shared" si="6"/>
        <v>0</v>
      </c>
      <c r="P14" s="6">
        <f t="shared" si="7"/>
        <v>0</v>
      </c>
      <c r="Q14" s="63"/>
      <c r="S14" t="s">
        <v>46</v>
      </c>
      <c r="T14" t="s">
        <v>47</v>
      </c>
      <c r="U14" t="s">
        <v>48</v>
      </c>
      <c r="V14" s="6">
        <f>V9-V12</f>
        <v>160.33000000000001</v>
      </c>
    </row>
    <row r="15" spans="1:24" ht="15.75" x14ac:dyDescent="0.25">
      <c r="A15" s="12">
        <f t="shared" si="1"/>
        <v>19</v>
      </c>
      <c r="B15" s="13">
        <f t="shared" si="8"/>
        <v>45421</v>
      </c>
      <c r="C15" s="14" t="str" cm="1">
        <f t="array" ref="C15">_xlfn.SWITCH(WEEKDAY($D15, 2), 1, "mandag", 2, "tirsdag", 3, "onsdag", 4, "torsdag", 5, "fredag", 6, "lørdag", 7, "søndag")</f>
        <v>torsdag</v>
      </c>
      <c r="D15">
        <f t="shared" si="0"/>
        <v>5</v>
      </c>
      <c r="E15" s="42">
        <f t="shared" si="2"/>
        <v>45421</v>
      </c>
      <c r="F15" s="15" t="s">
        <v>21</v>
      </c>
      <c r="G15" s="17" cm="1">
        <f t="array" ref="G15">IFERROR(IF(OR(AND(Masterdata!$B$4&lt;&gt;DATE(1900,1,0), Masterdata!$B$4&lt;$E15), AND(Masterdata!$B$3&lt;&gt;DATE(1900,1,0), Masterdata!$B$3&gt;$E15)), IF($H15&gt;TIME(0,0,0), "tast i næste felt", 0), IF($H15&gt;TIME(0,0,0), "Tast i næste felt", IF($H15&gt;0, 0, _xlfn.IFS($C15="lørdag", 0, $C15="søndag", 0, $F15="N", $V$8)))), "Tast i næste felt")</f>
        <v>0.30833333333333335</v>
      </c>
      <c r="H15" s="17">
        <v>0</v>
      </c>
      <c r="I15" s="16">
        <v>0</v>
      </c>
      <c r="J15" s="16">
        <v>0</v>
      </c>
      <c r="K15" s="50" t="str">
        <f>IF(OR(AND(Masterdata!$B$4&lt;&gt;DATE(1900,1,0),Masterdata!$B$4&lt;$E15),AND(Masterdata!$B$3&lt;&gt;DATE(1900,1,0),Masterdata!$B$3&gt;$E15)), "0:00", IF($H15&gt;TIME(0,0,0), IF($H15-$V$8&gt;=0, TEXT($H15-$V$8, "[t]:mm"), "-"&amp;TEXT(ABS($H15-$V$8), "[t]:mm")), IFERROR(IF($G15-$V$8=0, IF($G15-$V$8&gt;=0, TEXT($G15-$V$8, "[t]:mm"), "-"&amp;TEXT(ABS($G15-$V$8), "[t]:mm")), IF($J15-$I15&gt;=0, TEXT($J15-$I15, "[t]:mm"), "-"&amp;TEXT(ABS($J15-$I15), "[t]:mm"))), IF($J15-$I15-$V$8&gt;=0, TEXT($J15-$I15-$V$8, "[t]:mm"), "-"&amp;TEXT(ABS($J15-$I15-$V$8), "[t]:mm")))))</f>
        <v>0:00</v>
      </c>
      <c r="L15" s="54" t="str">
        <f t="shared" si="3"/>
        <v>0</v>
      </c>
      <c r="M15" s="58" t="str">
        <f t="shared" si="4"/>
        <v>0</v>
      </c>
      <c r="N15" s="51" t="str">
        <f t="shared" si="5"/>
        <v>00</v>
      </c>
      <c r="O15" s="57">
        <f t="shared" si="6"/>
        <v>0</v>
      </c>
      <c r="P15" s="6">
        <f t="shared" si="7"/>
        <v>0</v>
      </c>
      <c r="Q15" s="63"/>
      <c r="S15" t="s">
        <v>49</v>
      </c>
      <c r="T15" t="s">
        <v>50</v>
      </c>
      <c r="U15" t="s">
        <v>51</v>
      </c>
      <c r="V15" s="6" t="e">
        <f>SUM(#REF!)</f>
        <v>#REF!</v>
      </c>
    </row>
    <row r="16" spans="1:24" ht="15.75" x14ac:dyDescent="0.25">
      <c r="A16" s="12">
        <f t="shared" si="1"/>
        <v>19</v>
      </c>
      <c r="B16" s="13">
        <f t="shared" si="8"/>
        <v>45422</v>
      </c>
      <c r="C16" s="14" t="str" cm="1">
        <f t="array" ref="C16">_xlfn.SWITCH(WEEKDAY($D16, 2), 1, "mandag", 2, "tirsdag", 3, "onsdag", 4, "torsdag", 5, "fredag", 6, "lørdag", 7, "søndag")</f>
        <v>fredag</v>
      </c>
      <c r="D16">
        <f t="shared" si="0"/>
        <v>6</v>
      </c>
      <c r="E16" s="42">
        <f t="shared" si="2"/>
        <v>45422</v>
      </c>
      <c r="F16" s="15" t="s">
        <v>21</v>
      </c>
      <c r="G16" s="17" cm="1">
        <f t="array" ref="G16">IFERROR(IF(OR(AND(Masterdata!$B$4&lt;&gt;DATE(1900,1,0), Masterdata!$B$4&lt;$E16), AND(Masterdata!$B$3&lt;&gt;DATE(1900,1,0), Masterdata!$B$3&gt;$E16)), IF($H16&gt;TIME(0,0,0), "tast i næste felt", 0), IF($H16&gt;TIME(0,0,0), "Tast i næste felt", IF($H16&gt;0, 0, _xlfn.IFS($C16="lørdag", 0, $C16="søndag", 0, $F16="N", $V$8)))), "Tast i næste felt")</f>
        <v>0.30833333333333335</v>
      </c>
      <c r="H16" s="17">
        <v>0</v>
      </c>
      <c r="I16" s="16">
        <v>0</v>
      </c>
      <c r="J16" s="16">
        <v>0</v>
      </c>
      <c r="K16" s="50" t="str">
        <f>IF(OR(AND(Masterdata!$B$4&lt;&gt;DATE(1900,1,0),Masterdata!$B$4&lt;$E16),AND(Masterdata!$B$3&lt;&gt;DATE(1900,1,0),Masterdata!$B$3&gt;$E16)), "0:00", IF($H16&gt;TIME(0,0,0), IF($H16-$V$8&gt;=0, TEXT($H16-$V$8, "[t]:mm"), "-"&amp;TEXT(ABS($H16-$V$8), "[t]:mm")), IFERROR(IF($G16-$V$8=0, IF($G16-$V$8&gt;=0, TEXT($G16-$V$8, "[t]:mm"), "-"&amp;TEXT(ABS($G16-$V$8), "[t]:mm")), IF($J16-$I16&gt;=0, TEXT($J16-$I16, "[t]:mm"), "-"&amp;TEXT(ABS($J16-$I16), "[t]:mm"))), IF($J16-$I16-$V$8&gt;=0, TEXT($J16-$I16-$V$8, "[t]:mm"), "-"&amp;TEXT(ABS($J16-$I16-$V$8), "[t]:mm")))))</f>
        <v>0:00</v>
      </c>
      <c r="L16" s="54" t="str">
        <f t="shared" si="3"/>
        <v>0</v>
      </c>
      <c r="M16" s="58" t="str">
        <f t="shared" si="4"/>
        <v>0</v>
      </c>
      <c r="N16" s="51" t="str">
        <f t="shared" si="5"/>
        <v>00</v>
      </c>
      <c r="O16" s="57">
        <f t="shared" si="6"/>
        <v>0</v>
      </c>
      <c r="P16" s="6">
        <f t="shared" si="7"/>
        <v>0</v>
      </c>
      <c r="Q16" s="63"/>
      <c r="S16" t="s">
        <v>23</v>
      </c>
      <c r="T16" t="s">
        <v>52</v>
      </c>
      <c r="U16" t="s">
        <v>53</v>
      </c>
      <c r="V16" s="6" t="e">
        <f>V14-V15</f>
        <v>#REF!</v>
      </c>
    </row>
    <row r="17" spans="1:21" ht="15.75" x14ac:dyDescent="0.25">
      <c r="A17" s="12">
        <f t="shared" si="1"/>
        <v>19</v>
      </c>
      <c r="B17" s="13">
        <f t="shared" si="8"/>
        <v>45423</v>
      </c>
      <c r="C17" s="14" t="str" cm="1">
        <f t="array" ref="C17">_xlfn.SWITCH(WEEKDAY($D17, 2), 1, "mandag", 2, "tirsdag", 3, "onsdag", 4, "torsdag", 5, "fredag", 6, "lørdag", 7, "søndag")</f>
        <v>lørdag</v>
      </c>
      <c r="D17">
        <f t="shared" si="0"/>
        <v>7</v>
      </c>
      <c r="E17" s="42">
        <f t="shared" si="2"/>
        <v>45423</v>
      </c>
      <c r="F17" s="15" t="s">
        <v>21</v>
      </c>
      <c r="G17" s="17" cm="1">
        <f t="array" ref="G17">IFERROR(IF(OR(AND(Masterdata!$B$4&lt;&gt;DATE(1900,1,0), Masterdata!$B$4&lt;$E17), AND(Masterdata!$B$3&lt;&gt;DATE(1900,1,0), Masterdata!$B$3&gt;$E17)), IF($H17&gt;TIME(0,0,0), "tast i næste felt", 0), IF($H17&gt;TIME(0,0,0), "Tast i næste felt", IF($H17&gt;0, 0, _xlfn.IFS($C17="lørdag", 0, $C17="søndag", 0, $F17="N", $V$8)))), "Tast i næste felt")</f>
        <v>0</v>
      </c>
      <c r="H17" s="17">
        <v>0</v>
      </c>
      <c r="I17" s="16">
        <v>0</v>
      </c>
      <c r="J17" s="16">
        <v>0</v>
      </c>
      <c r="K17" s="50" t="str">
        <f>IF(OR(AND(Masterdata!$B$4&lt;&gt;DATE(1900,1,0),Masterdata!$B$4&lt;$E17),AND(Masterdata!$B$3&lt;&gt;DATE(1900,1,0),Masterdata!$B$3&gt;$E17)), "0:00", IF($H17&gt;TIME(0,0,0), IF($H17-$V$8&gt;=0, TEXT($H17-$V$8, "[t]:mm"), "-"&amp;TEXT(ABS($H17-$V$8), "[t]:mm")), IFERROR(IF($G17-$V$8=0, IF($G17-$V$8&gt;=0, TEXT($G17-$V$8, "[t]:mm"), "-"&amp;TEXT(ABS($G17-$V$8), "[t]:mm")), IF($J17-$I17&gt;=0, TEXT($J17-$I17, "[t]:mm"), "-"&amp;TEXT(ABS($J17-$I17), "[t]:mm"))), IF($J17-$I17-$V$8&gt;=0, TEXT($J17-$I17-$V$8, "[t]:mm"), "-"&amp;TEXT(ABS($J17-$I17-$V$8), "[t]:mm")))))</f>
        <v>0:00</v>
      </c>
      <c r="L17" s="54" t="str">
        <f t="shared" si="3"/>
        <v>0</v>
      </c>
      <c r="M17" s="58" t="str">
        <f t="shared" si="4"/>
        <v>0</v>
      </c>
      <c r="N17" s="51" t="str">
        <f t="shared" si="5"/>
        <v>00</v>
      </c>
      <c r="O17" s="57">
        <f t="shared" si="6"/>
        <v>0</v>
      </c>
      <c r="P17" s="6">
        <f t="shared" si="7"/>
        <v>0</v>
      </c>
      <c r="Q17" s="63"/>
      <c r="U17" s="42"/>
    </row>
    <row r="18" spans="1:21" ht="15.75" x14ac:dyDescent="0.25">
      <c r="A18" s="12">
        <f t="shared" si="1"/>
        <v>19</v>
      </c>
      <c r="B18" s="13">
        <f t="shared" si="8"/>
        <v>45424</v>
      </c>
      <c r="C18" s="14" t="str" cm="1">
        <f t="array" ref="C18">_xlfn.SWITCH(WEEKDAY($D18, 2), 1, "mandag", 2, "tirsdag", 3, "onsdag", 4, "torsdag", 5, "fredag", 6, "lørdag", 7, "søndag")</f>
        <v>søndag</v>
      </c>
      <c r="D18">
        <f t="shared" si="0"/>
        <v>8</v>
      </c>
      <c r="E18" s="42">
        <f t="shared" si="2"/>
        <v>45424</v>
      </c>
      <c r="F18" s="15" t="s">
        <v>21</v>
      </c>
      <c r="G18" s="17" cm="1">
        <f t="array" ref="G18">IFERROR(IF(OR(AND(Masterdata!$B$4&lt;&gt;DATE(1900,1,0), Masterdata!$B$4&lt;$E18), AND(Masterdata!$B$3&lt;&gt;DATE(1900,1,0), Masterdata!$B$3&gt;$E18)), IF($H18&gt;TIME(0,0,0), "tast i næste felt", 0), IF($H18&gt;TIME(0,0,0), "Tast i næste felt", IF($H18&gt;0, 0, _xlfn.IFS($C18="lørdag", 0, $C18="søndag", 0, $F18="N", $V$8)))), "Tast i næste felt")</f>
        <v>0</v>
      </c>
      <c r="H18" s="17">
        <v>0</v>
      </c>
      <c r="I18" s="16">
        <v>0</v>
      </c>
      <c r="J18" s="16">
        <v>0</v>
      </c>
      <c r="K18" s="50" t="str">
        <f>IF(OR(AND(Masterdata!$B$4&lt;&gt;DATE(1900,1,0),Masterdata!$B$4&lt;$E18),AND(Masterdata!$B$3&lt;&gt;DATE(1900,1,0),Masterdata!$B$3&gt;$E18)), "0:00", IF($H18&gt;TIME(0,0,0), IF($H18-$V$8&gt;=0, TEXT($H18-$V$8, "[t]:mm"), "-"&amp;TEXT(ABS($H18-$V$8), "[t]:mm")), IFERROR(IF($G18-$V$8=0, IF($G18-$V$8&gt;=0, TEXT($G18-$V$8, "[t]:mm"), "-"&amp;TEXT(ABS($G18-$V$8), "[t]:mm")), IF($J18-$I18&gt;=0, TEXT($J18-$I18, "[t]:mm"), "-"&amp;TEXT(ABS($J18-$I18), "[t]:mm"))), IF($J18-$I18-$V$8&gt;=0, TEXT($J18-$I18-$V$8, "[t]:mm"), "-"&amp;TEXT(ABS($J18-$I18-$V$8), "[t]:mm")))))</f>
        <v>0:00</v>
      </c>
      <c r="L18" s="54" t="str">
        <f t="shared" si="3"/>
        <v>0</v>
      </c>
      <c r="M18" s="58" t="str">
        <f t="shared" si="4"/>
        <v>0</v>
      </c>
      <c r="N18" s="51" t="str">
        <f t="shared" si="5"/>
        <v>00</v>
      </c>
      <c r="O18" s="57">
        <f t="shared" si="6"/>
        <v>0</v>
      </c>
      <c r="P18" s="6">
        <f t="shared" si="7"/>
        <v>0</v>
      </c>
      <c r="Q18" s="63"/>
      <c r="R18" s="52"/>
    </row>
    <row r="19" spans="1:21" ht="15.75" x14ac:dyDescent="0.25">
      <c r="A19" s="12">
        <f t="shared" si="1"/>
        <v>20</v>
      </c>
      <c r="B19" s="13">
        <f t="shared" si="8"/>
        <v>45425</v>
      </c>
      <c r="C19" s="14" t="str" cm="1">
        <f t="array" ref="C19">_xlfn.SWITCH(WEEKDAY($D19, 2), 1, "mandag", 2, "tirsdag", 3, "onsdag", 4, "torsdag", 5, "fredag", 6, "lørdag", 7, "søndag")</f>
        <v>mandag</v>
      </c>
      <c r="D19">
        <f t="shared" si="0"/>
        <v>2</v>
      </c>
      <c r="E19" s="42">
        <f t="shared" si="2"/>
        <v>45425</v>
      </c>
      <c r="F19" s="15" t="s">
        <v>21</v>
      </c>
      <c r="G19" s="17" cm="1">
        <f t="array" ref="G19">IFERROR(IF(OR(AND(Masterdata!$B$4&lt;&gt;DATE(1900,1,0), Masterdata!$B$4&lt;$E19), AND(Masterdata!$B$3&lt;&gt;DATE(1900,1,0), Masterdata!$B$3&gt;$E19)), IF($H19&gt;TIME(0,0,0), "tast i næste felt", 0), IF($H19&gt;TIME(0,0,0), "Tast i næste felt", IF($H19&gt;0, 0, _xlfn.IFS($C19="lørdag", 0, $C19="søndag", 0, $F19="N", $V$8)))), "Tast i næste felt")</f>
        <v>0.30833333333333335</v>
      </c>
      <c r="H19" s="17">
        <v>0</v>
      </c>
      <c r="I19" s="16">
        <v>0</v>
      </c>
      <c r="J19" s="16">
        <v>0</v>
      </c>
      <c r="K19" s="50" t="str">
        <f>IF(OR(AND(Masterdata!$B$4&lt;&gt;DATE(1900,1,0),Masterdata!$B$4&lt;$E19),AND(Masterdata!$B$3&lt;&gt;DATE(1900,1,0),Masterdata!$B$3&gt;$E19)), "0:00", IF($H19&gt;TIME(0,0,0), IF($H19-$V$8&gt;=0, TEXT($H19-$V$8, "[t]:mm"), "-"&amp;TEXT(ABS($H19-$V$8), "[t]:mm")), IFERROR(IF($G19-$V$8=0, IF($G19-$V$8&gt;=0, TEXT($G19-$V$8, "[t]:mm"), "-"&amp;TEXT(ABS($G19-$V$8), "[t]:mm")), IF($J19-$I19&gt;=0, TEXT($J19-$I19, "[t]:mm"), "-"&amp;TEXT(ABS($J19-$I19), "[t]:mm"))), IF($J19-$I19-$V$8&gt;=0, TEXT($J19-$I19-$V$8, "[t]:mm"), "-"&amp;TEXT(ABS($J19-$I19-$V$8), "[t]:mm")))))</f>
        <v>0:00</v>
      </c>
      <c r="L19" s="54" t="str">
        <f t="shared" si="3"/>
        <v>0</v>
      </c>
      <c r="M19" s="58" t="str">
        <f t="shared" si="4"/>
        <v>0</v>
      </c>
      <c r="N19" s="51" t="str">
        <f t="shared" si="5"/>
        <v>00</v>
      </c>
      <c r="O19" s="57">
        <f t="shared" si="6"/>
        <v>0</v>
      </c>
      <c r="P19" s="6">
        <f t="shared" si="7"/>
        <v>0</v>
      </c>
      <c r="Q19" s="63"/>
    </row>
    <row r="20" spans="1:21" ht="15.75" x14ac:dyDescent="0.25">
      <c r="A20" s="12">
        <f t="shared" si="1"/>
        <v>20</v>
      </c>
      <c r="B20" s="13">
        <f t="shared" si="8"/>
        <v>45426</v>
      </c>
      <c r="C20" s="14" t="str" cm="1">
        <f t="array" ref="C20">_xlfn.SWITCH(WEEKDAY($D20, 2), 1, "mandag", 2, "tirsdag", 3, "onsdag", 4, "torsdag", 5, "fredag", 6, "lørdag", 7, "søndag")</f>
        <v>tirsdag</v>
      </c>
      <c r="D20">
        <f t="shared" si="0"/>
        <v>3</v>
      </c>
      <c r="E20" s="42">
        <f t="shared" si="2"/>
        <v>45426</v>
      </c>
      <c r="F20" s="15" t="s">
        <v>21</v>
      </c>
      <c r="G20" s="17" cm="1">
        <f t="array" ref="G20">IFERROR(IF(OR(AND(Masterdata!$B$4&lt;&gt;DATE(1900,1,0), Masterdata!$B$4&lt;$E20), AND(Masterdata!$B$3&lt;&gt;DATE(1900,1,0), Masterdata!$B$3&gt;$E20)), IF($H20&gt;TIME(0,0,0), "tast i næste felt", 0), IF($H20&gt;TIME(0,0,0), "Tast i næste felt", IF($H20&gt;0, 0, _xlfn.IFS($C20="lørdag", 0, $C20="søndag", 0, $F20="N", $V$8)))), "Tast i næste felt")</f>
        <v>0.30833333333333335</v>
      </c>
      <c r="H20" s="17">
        <v>0</v>
      </c>
      <c r="I20" s="16">
        <v>0</v>
      </c>
      <c r="J20" s="16">
        <v>0</v>
      </c>
      <c r="K20" s="50" t="str">
        <f>IF(OR(AND(Masterdata!$B$4&lt;&gt;DATE(1900,1,0),Masterdata!$B$4&lt;$E20),AND(Masterdata!$B$3&lt;&gt;DATE(1900,1,0),Masterdata!$B$3&gt;$E20)), "0:00", IF($H20&gt;TIME(0,0,0), IF($H20-$V$8&gt;=0, TEXT($H20-$V$8, "[t]:mm"), "-"&amp;TEXT(ABS($H20-$V$8), "[t]:mm")), IFERROR(IF($G20-$V$8=0, IF($G20-$V$8&gt;=0, TEXT($G20-$V$8, "[t]:mm"), "-"&amp;TEXT(ABS($G20-$V$8), "[t]:mm")), IF($J20-$I20&gt;=0, TEXT($J20-$I20, "[t]:mm"), "-"&amp;TEXT(ABS($J20-$I20), "[t]:mm"))), IF($J20-$I20-$V$8&gt;=0, TEXT($J20-$I20-$V$8, "[t]:mm"), "-"&amp;TEXT(ABS($J20-$I20-$V$8), "[t]:mm")))))</f>
        <v>0:00</v>
      </c>
      <c r="L20" s="54" t="str">
        <f t="shared" si="3"/>
        <v>0</v>
      </c>
      <c r="M20" s="58" t="str">
        <f t="shared" si="4"/>
        <v>0</v>
      </c>
      <c r="N20" s="51" t="str">
        <f t="shared" si="5"/>
        <v>00</v>
      </c>
      <c r="O20" s="57">
        <f t="shared" si="6"/>
        <v>0</v>
      </c>
      <c r="P20" s="6">
        <f t="shared" si="7"/>
        <v>0</v>
      </c>
      <c r="Q20" s="63"/>
    </row>
    <row r="21" spans="1:21" ht="15.75" x14ac:dyDescent="0.25">
      <c r="A21" s="12">
        <f t="shared" si="1"/>
        <v>20</v>
      </c>
      <c r="B21" s="13">
        <f t="shared" si="8"/>
        <v>45427</v>
      </c>
      <c r="C21" s="14" t="str" cm="1">
        <f t="array" ref="C21">_xlfn.SWITCH(WEEKDAY($D21, 2), 1, "mandag", 2, "tirsdag", 3, "onsdag", 4, "torsdag", 5, "fredag", 6, "lørdag", 7, "søndag")</f>
        <v>onsdag</v>
      </c>
      <c r="D21">
        <f t="shared" si="0"/>
        <v>4</v>
      </c>
      <c r="E21" s="42">
        <f t="shared" si="2"/>
        <v>45427</v>
      </c>
      <c r="F21" s="15" t="s">
        <v>21</v>
      </c>
      <c r="G21" s="17" cm="1">
        <f t="array" ref="G21">IFERROR(IF(OR(AND(Masterdata!$B$4&lt;&gt;DATE(1900,1,0), Masterdata!$B$4&lt;$E21), AND(Masterdata!$B$3&lt;&gt;DATE(1900,1,0), Masterdata!$B$3&gt;$E21)), IF($H21&gt;TIME(0,0,0), "tast i næste felt", 0), IF($H21&gt;TIME(0,0,0), "Tast i næste felt", IF($H21&gt;0, 0, _xlfn.IFS($C21="lørdag", 0, $C21="søndag", 0, $F21="N", $V$8)))), "Tast i næste felt")</f>
        <v>0.30833333333333335</v>
      </c>
      <c r="H21" s="17">
        <v>0</v>
      </c>
      <c r="I21" s="16">
        <v>0</v>
      </c>
      <c r="J21" s="16">
        <v>0</v>
      </c>
      <c r="K21" s="50" t="str">
        <f>IF(OR(AND(Masterdata!$B$4&lt;&gt;DATE(1900,1,0),Masterdata!$B$4&lt;$E21),AND(Masterdata!$B$3&lt;&gt;DATE(1900,1,0),Masterdata!$B$3&gt;$E21)), "0:00", IF($H21&gt;TIME(0,0,0), IF($H21-$V$8&gt;=0, TEXT($H21-$V$8, "[t]:mm"), "-"&amp;TEXT(ABS($H21-$V$8), "[t]:mm")), IFERROR(IF($G21-$V$8=0, IF($G21-$V$8&gt;=0, TEXT($G21-$V$8, "[t]:mm"), "-"&amp;TEXT(ABS($G21-$V$8), "[t]:mm")), IF($J21-$I21&gt;=0, TEXT($J21-$I21, "[t]:mm"), "-"&amp;TEXT(ABS($J21-$I21), "[t]:mm"))), IF($J21-$I21-$V$8&gt;=0, TEXT($J21-$I21-$V$8, "[t]:mm"), "-"&amp;TEXT(ABS($J21-$I21-$V$8), "[t]:mm")))))</f>
        <v>0:00</v>
      </c>
      <c r="L21" s="54" t="str">
        <f t="shared" si="3"/>
        <v>0</v>
      </c>
      <c r="M21" s="58" t="str">
        <f t="shared" si="4"/>
        <v>0</v>
      </c>
      <c r="N21" s="51" t="str">
        <f t="shared" si="5"/>
        <v>00</v>
      </c>
      <c r="O21" s="57">
        <f t="shared" si="6"/>
        <v>0</v>
      </c>
      <c r="P21" s="6">
        <f t="shared" si="7"/>
        <v>0</v>
      </c>
      <c r="Q21" s="63"/>
    </row>
    <row r="22" spans="1:21" ht="15.75" x14ac:dyDescent="0.25">
      <c r="A22" s="12">
        <f t="shared" si="1"/>
        <v>20</v>
      </c>
      <c r="B22" s="13">
        <f t="shared" si="8"/>
        <v>45428</v>
      </c>
      <c r="C22" s="14" t="str" cm="1">
        <f t="array" ref="C22">_xlfn.SWITCH(WEEKDAY($D22, 2), 1, "mandag", 2, "tirsdag", 3, "onsdag", 4, "torsdag", 5, "fredag", 6, "lørdag", 7, "søndag")</f>
        <v>torsdag</v>
      </c>
      <c r="D22">
        <f t="shared" si="0"/>
        <v>5</v>
      </c>
      <c r="E22" s="42">
        <f t="shared" si="2"/>
        <v>45428</v>
      </c>
      <c r="F22" s="15" t="s">
        <v>21</v>
      </c>
      <c r="G22" s="17" cm="1">
        <f t="array" ref="G22">IFERROR(IF(OR(AND(Masterdata!$B$4&lt;&gt;DATE(1900,1,0), Masterdata!$B$4&lt;$E22), AND(Masterdata!$B$3&lt;&gt;DATE(1900,1,0), Masterdata!$B$3&gt;$E22)), IF($H22&gt;TIME(0,0,0), "tast i næste felt", 0), IF($H22&gt;TIME(0,0,0), "Tast i næste felt", IF($H22&gt;0, 0, _xlfn.IFS($C22="lørdag", 0, $C22="søndag", 0, $F22="N", $V$8)))), "Tast i næste felt")</f>
        <v>0.30833333333333335</v>
      </c>
      <c r="H22" s="17">
        <v>0</v>
      </c>
      <c r="I22" s="16">
        <v>0</v>
      </c>
      <c r="J22" s="16">
        <v>0</v>
      </c>
      <c r="K22" s="50" t="str">
        <f>IF(OR(AND(Masterdata!$B$4&lt;&gt;DATE(1900,1,0),Masterdata!$B$4&lt;$E22),AND(Masterdata!$B$3&lt;&gt;DATE(1900,1,0),Masterdata!$B$3&gt;$E22)), "0:00", IF($H22&gt;TIME(0,0,0), IF($H22-$V$8&gt;=0, TEXT($H22-$V$8, "[t]:mm"), "-"&amp;TEXT(ABS($H22-$V$8), "[t]:mm")), IFERROR(IF($G22-$V$8=0, IF($G22-$V$8&gt;=0, TEXT($G22-$V$8, "[t]:mm"), "-"&amp;TEXT(ABS($G22-$V$8), "[t]:mm")), IF($J22-$I22&gt;=0, TEXT($J22-$I22, "[t]:mm"), "-"&amp;TEXT(ABS($J22-$I22), "[t]:mm"))), IF($J22-$I22-$V$8&gt;=0, TEXT($J22-$I22-$V$8, "[t]:mm"), "-"&amp;TEXT(ABS($J22-$I22-$V$8), "[t]:mm")))))</f>
        <v>0:00</v>
      </c>
      <c r="L22" s="54" t="str">
        <f t="shared" si="3"/>
        <v>0</v>
      </c>
      <c r="M22" s="58" t="str">
        <f t="shared" si="4"/>
        <v>0</v>
      </c>
      <c r="N22" s="51" t="str">
        <f t="shared" si="5"/>
        <v>00</v>
      </c>
      <c r="O22" s="57">
        <f t="shared" si="6"/>
        <v>0</v>
      </c>
      <c r="P22" s="6">
        <f t="shared" si="7"/>
        <v>0</v>
      </c>
      <c r="Q22" s="63"/>
    </row>
    <row r="23" spans="1:21" ht="15.75" x14ac:dyDescent="0.25">
      <c r="A23" s="12">
        <f t="shared" si="1"/>
        <v>20</v>
      </c>
      <c r="B23" s="13">
        <f t="shared" si="8"/>
        <v>45429</v>
      </c>
      <c r="C23" s="14" t="str" cm="1">
        <f t="array" ref="C23">_xlfn.SWITCH(WEEKDAY($D23, 2), 1, "mandag", 2, "tirsdag", 3, "onsdag", 4, "torsdag", 5, "fredag", 6, "lørdag", 7, "søndag")</f>
        <v>fredag</v>
      </c>
      <c r="D23">
        <f t="shared" si="0"/>
        <v>6</v>
      </c>
      <c r="E23" s="42">
        <f t="shared" si="2"/>
        <v>45429</v>
      </c>
      <c r="F23" s="15" t="s">
        <v>21</v>
      </c>
      <c r="G23" s="17" cm="1">
        <f t="array" ref="G23">IFERROR(IF(OR(AND(Masterdata!$B$4&lt;&gt;DATE(1900,1,0), Masterdata!$B$4&lt;$E23), AND(Masterdata!$B$3&lt;&gt;DATE(1900,1,0), Masterdata!$B$3&gt;$E23)), IF($H23&gt;TIME(0,0,0), "tast i næste felt", 0), IF($H23&gt;TIME(0,0,0), "Tast i næste felt", IF($H23&gt;0, 0, _xlfn.IFS($C23="lørdag", 0, $C23="søndag", 0, $F23="N", $V$8)))), "Tast i næste felt")</f>
        <v>0.30833333333333335</v>
      </c>
      <c r="H23" s="17">
        <v>0</v>
      </c>
      <c r="I23" s="16">
        <v>0</v>
      </c>
      <c r="J23" s="16">
        <v>0</v>
      </c>
      <c r="K23" s="50" t="str">
        <f>IF(OR(AND(Masterdata!$B$4&lt;&gt;DATE(1900,1,0),Masterdata!$B$4&lt;$E23),AND(Masterdata!$B$3&lt;&gt;DATE(1900,1,0),Masterdata!$B$3&gt;$E23)), "0:00", IF($H23&gt;TIME(0,0,0), IF($H23-$V$8&gt;=0, TEXT($H23-$V$8, "[t]:mm"), "-"&amp;TEXT(ABS($H23-$V$8), "[t]:mm")), IFERROR(IF($G23-$V$8=0, IF($G23-$V$8&gt;=0, TEXT($G23-$V$8, "[t]:mm"), "-"&amp;TEXT(ABS($G23-$V$8), "[t]:mm")), IF($J23-$I23&gt;=0, TEXT($J23-$I23, "[t]:mm"), "-"&amp;TEXT(ABS($J23-$I23), "[t]:mm"))), IF($J23-$I23-$V$8&gt;=0, TEXT($J23-$I23-$V$8, "[t]:mm"), "-"&amp;TEXT(ABS($J23-$I23-$V$8), "[t]:mm")))))</f>
        <v>0:00</v>
      </c>
      <c r="L23" s="54" t="str">
        <f t="shared" si="3"/>
        <v>0</v>
      </c>
      <c r="M23" s="58" t="str">
        <f t="shared" si="4"/>
        <v>0</v>
      </c>
      <c r="N23" s="51" t="str">
        <f t="shared" si="5"/>
        <v>00</v>
      </c>
      <c r="O23" s="57">
        <f t="shared" si="6"/>
        <v>0</v>
      </c>
      <c r="P23" s="6">
        <f t="shared" si="7"/>
        <v>0</v>
      </c>
      <c r="Q23" s="63"/>
    </row>
    <row r="24" spans="1:21" ht="15.75" x14ac:dyDescent="0.25">
      <c r="A24" s="12">
        <f t="shared" si="1"/>
        <v>20</v>
      </c>
      <c r="B24" s="13">
        <f t="shared" si="8"/>
        <v>45430</v>
      </c>
      <c r="C24" s="14" t="str" cm="1">
        <f t="array" ref="C24">_xlfn.SWITCH(WEEKDAY($D24, 2), 1, "mandag", 2, "tirsdag", 3, "onsdag", 4, "torsdag", 5, "fredag", 6, "lørdag", 7, "søndag")</f>
        <v>lørdag</v>
      </c>
      <c r="D24">
        <f t="shared" si="0"/>
        <v>7</v>
      </c>
      <c r="E24" s="42">
        <f t="shared" si="2"/>
        <v>45430</v>
      </c>
      <c r="F24" s="15" t="s">
        <v>21</v>
      </c>
      <c r="G24" s="17" cm="1">
        <f t="array" ref="G24">IFERROR(IF(OR(AND(Masterdata!$B$4&lt;&gt;DATE(1900,1,0), Masterdata!$B$4&lt;$E24), AND(Masterdata!$B$3&lt;&gt;DATE(1900,1,0), Masterdata!$B$3&gt;$E24)), IF($H24&gt;TIME(0,0,0), "tast i næste felt", 0), IF($H24&gt;TIME(0,0,0), "Tast i næste felt", IF($H24&gt;0, 0, _xlfn.IFS($C24="lørdag", 0, $C24="søndag", 0, $F24="N", $V$8)))), "Tast i næste felt")</f>
        <v>0</v>
      </c>
      <c r="H24" s="17">
        <v>0</v>
      </c>
      <c r="I24" s="16">
        <v>0</v>
      </c>
      <c r="J24" s="16">
        <v>0</v>
      </c>
      <c r="K24" s="50" t="str">
        <f>IF(OR(AND(Masterdata!$B$4&lt;&gt;DATE(1900,1,0),Masterdata!$B$4&lt;$E24),AND(Masterdata!$B$3&lt;&gt;DATE(1900,1,0),Masterdata!$B$3&gt;$E24)), "0:00", IF($H24&gt;TIME(0,0,0), IF($H24-$V$8&gt;=0, TEXT($H24-$V$8, "[t]:mm"), "-"&amp;TEXT(ABS($H24-$V$8), "[t]:mm")), IFERROR(IF($G24-$V$8=0, IF($G24-$V$8&gt;=0, TEXT($G24-$V$8, "[t]:mm"), "-"&amp;TEXT(ABS($G24-$V$8), "[t]:mm")), IF($J24-$I24&gt;=0, TEXT($J24-$I24, "[t]:mm"), "-"&amp;TEXT(ABS($J24-$I24), "[t]:mm"))), IF($J24-$I24-$V$8&gt;=0, TEXT($J24-$I24-$V$8, "[t]:mm"), "-"&amp;TEXT(ABS($J24-$I24-$V$8), "[t]:mm")))))</f>
        <v>0:00</v>
      </c>
      <c r="L24" s="54" t="str">
        <f t="shared" si="3"/>
        <v>0</v>
      </c>
      <c r="M24" s="58" t="str">
        <f t="shared" si="4"/>
        <v>0</v>
      </c>
      <c r="N24" s="51" t="str">
        <f t="shared" si="5"/>
        <v>00</v>
      </c>
      <c r="O24" s="57">
        <f t="shared" si="6"/>
        <v>0</v>
      </c>
      <c r="P24" s="6">
        <f t="shared" si="7"/>
        <v>0</v>
      </c>
      <c r="Q24" s="63"/>
    </row>
    <row r="25" spans="1:21" ht="15.75" x14ac:dyDescent="0.25">
      <c r="A25" s="12">
        <f t="shared" si="1"/>
        <v>20</v>
      </c>
      <c r="B25" s="13">
        <f t="shared" si="8"/>
        <v>45431</v>
      </c>
      <c r="C25" s="14" t="str" cm="1">
        <f t="array" ref="C25">_xlfn.SWITCH(WEEKDAY($D25, 2), 1, "mandag", 2, "tirsdag", 3, "onsdag", 4, "torsdag", 5, "fredag", 6, "lørdag", 7, "søndag")</f>
        <v>søndag</v>
      </c>
      <c r="D25">
        <f t="shared" si="0"/>
        <v>8</v>
      </c>
      <c r="E25" s="42">
        <f t="shared" si="2"/>
        <v>45431</v>
      </c>
      <c r="F25" s="15" t="s">
        <v>21</v>
      </c>
      <c r="G25" s="17" cm="1">
        <f t="array" ref="G25">IFERROR(IF(OR(AND(Masterdata!$B$4&lt;&gt;DATE(1900,1,0), Masterdata!$B$4&lt;$E25), AND(Masterdata!$B$3&lt;&gt;DATE(1900,1,0), Masterdata!$B$3&gt;$E25)), IF($H25&gt;TIME(0,0,0), "tast i næste felt", 0), IF($H25&gt;TIME(0,0,0), "Tast i næste felt", IF($H25&gt;0, 0, _xlfn.IFS($C25="lørdag", 0, $C25="søndag", 0, $F25="N", $V$8)))), "Tast i næste felt")</f>
        <v>0</v>
      </c>
      <c r="H25" s="17">
        <v>0</v>
      </c>
      <c r="I25" s="16">
        <v>0</v>
      </c>
      <c r="J25" s="16">
        <v>0</v>
      </c>
      <c r="K25" s="50" t="str">
        <f>IF(OR(AND(Masterdata!$B$4&lt;&gt;DATE(1900,1,0),Masterdata!$B$4&lt;$E25),AND(Masterdata!$B$3&lt;&gt;DATE(1900,1,0),Masterdata!$B$3&gt;$E25)), "0:00", IF($H25&gt;TIME(0,0,0), IF($H25-$V$8&gt;=0, TEXT($H25-$V$8, "[t]:mm"), "-"&amp;TEXT(ABS($H25-$V$8), "[t]:mm")), IFERROR(IF($G25-$V$8=0, IF($G25-$V$8&gt;=0, TEXT($G25-$V$8, "[t]:mm"), "-"&amp;TEXT(ABS($G25-$V$8), "[t]:mm")), IF($J25-$I25&gt;=0, TEXT($J25-$I25, "[t]:mm"), "-"&amp;TEXT(ABS($J25-$I25), "[t]:mm"))), IF($J25-$I25-$V$8&gt;=0, TEXT($J25-$I25-$V$8, "[t]:mm"), "-"&amp;TEXT(ABS($J25-$I25-$V$8), "[t]:mm")))))</f>
        <v>0:00</v>
      </c>
      <c r="L25" s="54" t="str">
        <f t="shared" si="3"/>
        <v>0</v>
      </c>
      <c r="M25" s="58" t="str">
        <f t="shared" si="4"/>
        <v>0</v>
      </c>
      <c r="N25" s="51" t="str">
        <f t="shared" si="5"/>
        <v>00</v>
      </c>
      <c r="O25" s="57">
        <f t="shared" si="6"/>
        <v>0</v>
      </c>
      <c r="P25" s="6">
        <f t="shared" si="7"/>
        <v>0</v>
      </c>
      <c r="Q25" s="63"/>
    </row>
    <row r="26" spans="1:21" ht="15.75" x14ac:dyDescent="0.25">
      <c r="A26" s="12">
        <f t="shared" si="1"/>
        <v>21</v>
      </c>
      <c r="B26" s="13">
        <f t="shared" si="8"/>
        <v>45432</v>
      </c>
      <c r="C26" s="14" t="str" cm="1">
        <f t="array" ref="C26">_xlfn.SWITCH(WEEKDAY($D26, 2), 1, "mandag", 2, "tirsdag", 3, "onsdag", 4, "torsdag", 5, "fredag", 6, "lørdag", 7, "søndag")</f>
        <v>mandag</v>
      </c>
      <c r="D26">
        <f t="shared" si="0"/>
        <v>2</v>
      </c>
      <c r="E26" s="42">
        <f t="shared" si="2"/>
        <v>45432</v>
      </c>
      <c r="F26" s="15" t="s">
        <v>21</v>
      </c>
      <c r="G26" s="17" cm="1">
        <f t="array" ref="G26">IFERROR(IF(OR(AND(Masterdata!$B$4&lt;&gt;DATE(1900,1,0), Masterdata!$B$4&lt;$E26), AND(Masterdata!$B$3&lt;&gt;DATE(1900,1,0), Masterdata!$B$3&gt;$E26)), IF($H26&gt;TIME(0,0,0), "tast i næste felt", 0), IF($H26&gt;TIME(0,0,0), "Tast i næste felt", IF($H26&gt;0, 0, _xlfn.IFS($C26="lørdag", 0, $C26="søndag", 0, $F26="N", $V$8)))), "Tast i næste felt")</f>
        <v>0.30833333333333335</v>
      </c>
      <c r="H26" s="17">
        <v>0</v>
      </c>
      <c r="I26" s="16">
        <v>0</v>
      </c>
      <c r="J26" s="16">
        <v>0</v>
      </c>
      <c r="K26" s="50" t="str">
        <f>IF(OR(AND(Masterdata!$B$4&lt;&gt;DATE(1900,1,0),Masterdata!$B$4&lt;$E26),AND(Masterdata!$B$3&lt;&gt;DATE(1900,1,0),Masterdata!$B$3&gt;$E26)), "0:00", IF($H26&gt;TIME(0,0,0), IF($H26-$V$8&gt;=0, TEXT($H26-$V$8, "[t]:mm"), "-"&amp;TEXT(ABS($H26-$V$8), "[t]:mm")), IFERROR(IF($G26-$V$8=0, IF($G26-$V$8&gt;=0, TEXT($G26-$V$8, "[t]:mm"), "-"&amp;TEXT(ABS($G26-$V$8), "[t]:mm")), IF($J26-$I26&gt;=0, TEXT($J26-$I26, "[t]:mm"), "-"&amp;TEXT(ABS($J26-$I26), "[t]:mm"))), IF($J26-$I26-$V$8&gt;=0, TEXT($J26-$I26-$V$8, "[t]:mm"), "-"&amp;TEXT(ABS($J26-$I26-$V$8), "[t]:mm")))))</f>
        <v>0:00</v>
      </c>
      <c r="L26" s="54" t="str">
        <f t="shared" si="3"/>
        <v>0</v>
      </c>
      <c r="M26" s="58" t="str">
        <f t="shared" si="4"/>
        <v>0</v>
      </c>
      <c r="N26" s="51" t="str">
        <f t="shared" si="5"/>
        <v>00</v>
      </c>
      <c r="O26" s="57">
        <f t="shared" si="6"/>
        <v>0</v>
      </c>
      <c r="P26" s="6">
        <f t="shared" si="7"/>
        <v>0</v>
      </c>
      <c r="Q26" s="63"/>
    </row>
    <row r="27" spans="1:21" ht="15.75" x14ac:dyDescent="0.25">
      <c r="A27" s="12">
        <f t="shared" si="1"/>
        <v>21</v>
      </c>
      <c r="B27" s="13">
        <f t="shared" si="8"/>
        <v>45433</v>
      </c>
      <c r="C27" s="14" t="str" cm="1">
        <f t="array" ref="C27">_xlfn.SWITCH(WEEKDAY($D27, 2), 1, "mandag", 2, "tirsdag", 3, "onsdag", 4, "torsdag", 5, "fredag", 6, "lørdag", 7, "søndag")</f>
        <v>tirsdag</v>
      </c>
      <c r="D27">
        <f t="shared" si="0"/>
        <v>3</v>
      </c>
      <c r="E27" s="42">
        <f t="shared" si="2"/>
        <v>45433</v>
      </c>
      <c r="F27" s="15" t="s">
        <v>21</v>
      </c>
      <c r="G27" s="17" cm="1">
        <f t="array" ref="G27">IFERROR(IF(OR(AND(Masterdata!$B$4&lt;&gt;DATE(1900,1,0), Masterdata!$B$4&lt;$E27), AND(Masterdata!$B$3&lt;&gt;DATE(1900,1,0), Masterdata!$B$3&gt;$E27)), IF($H27&gt;TIME(0,0,0), "tast i næste felt", 0), IF($H27&gt;TIME(0,0,0), "Tast i næste felt", IF($H27&gt;0, 0, _xlfn.IFS($C27="lørdag", 0, $C27="søndag", 0, $F27="N", $V$8)))), "Tast i næste felt")</f>
        <v>0.30833333333333335</v>
      </c>
      <c r="H27" s="17">
        <v>0</v>
      </c>
      <c r="I27" s="16">
        <v>0</v>
      </c>
      <c r="J27" s="16">
        <v>0</v>
      </c>
      <c r="K27" s="50" t="str">
        <f>IF(OR(AND(Masterdata!$B$4&lt;&gt;DATE(1900,1,0),Masterdata!$B$4&lt;$E27),AND(Masterdata!$B$3&lt;&gt;DATE(1900,1,0),Masterdata!$B$3&gt;$E27)), "0:00", IF($H27&gt;TIME(0,0,0), IF($H27-$V$8&gt;=0, TEXT($H27-$V$8, "[t]:mm"), "-"&amp;TEXT(ABS($H27-$V$8), "[t]:mm")), IFERROR(IF($G27-$V$8=0, IF($G27-$V$8&gt;=0, TEXT($G27-$V$8, "[t]:mm"), "-"&amp;TEXT(ABS($G27-$V$8), "[t]:mm")), IF($J27-$I27&gt;=0, TEXT($J27-$I27, "[t]:mm"), "-"&amp;TEXT(ABS($J27-$I27), "[t]:mm"))), IF($J27-$I27-$V$8&gt;=0, TEXT($J27-$I27-$V$8, "[t]:mm"), "-"&amp;TEXT(ABS($J27-$I27-$V$8), "[t]:mm")))))</f>
        <v>0:00</v>
      </c>
      <c r="L27" s="54" t="str">
        <f t="shared" si="3"/>
        <v>0</v>
      </c>
      <c r="M27" s="58" t="str">
        <f t="shared" si="4"/>
        <v>0</v>
      </c>
      <c r="N27" s="51" t="str">
        <f t="shared" si="5"/>
        <v>00</v>
      </c>
      <c r="O27" s="57">
        <f t="shared" si="6"/>
        <v>0</v>
      </c>
      <c r="P27" s="6">
        <f t="shared" si="7"/>
        <v>0</v>
      </c>
      <c r="Q27" s="63"/>
    </row>
    <row r="28" spans="1:21" ht="15.75" x14ac:dyDescent="0.25">
      <c r="A28" s="12">
        <f t="shared" si="1"/>
        <v>21</v>
      </c>
      <c r="B28" s="13">
        <f t="shared" si="8"/>
        <v>45434</v>
      </c>
      <c r="C28" s="14" t="str" cm="1">
        <f t="array" ref="C28">_xlfn.SWITCH(WEEKDAY($D28, 2), 1, "mandag", 2, "tirsdag", 3, "onsdag", 4, "torsdag", 5, "fredag", 6, "lørdag", 7, "søndag")</f>
        <v>onsdag</v>
      </c>
      <c r="D28">
        <f t="shared" si="0"/>
        <v>4</v>
      </c>
      <c r="E28" s="42">
        <f t="shared" si="2"/>
        <v>45434</v>
      </c>
      <c r="F28" s="15" t="s">
        <v>21</v>
      </c>
      <c r="G28" s="17" cm="1">
        <f t="array" ref="G28">IFERROR(IF(OR(AND(Masterdata!$B$4&lt;&gt;DATE(1900,1,0), Masterdata!$B$4&lt;$E28), AND(Masterdata!$B$3&lt;&gt;DATE(1900,1,0), Masterdata!$B$3&gt;$E28)), IF($H28&gt;TIME(0,0,0), "tast i næste felt", 0), IF($H28&gt;TIME(0,0,0), "Tast i næste felt", IF($H28&gt;0, 0, _xlfn.IFS($C28="lørdag", 0, $C28="søndag", 0, $F28="N", $V$8)))), "Tast i næste felt")</f>
        <v>0.30833333333333335</v>
      </c>
      <c r="H28" s="17">
        <v>0</v>
      </c>
      <c r="I28" s="16">
        <v>0</v>
      </c>
      <c r="J28" s="16">
        <v>0</v>
      </c>
      <c r="K28" s="50" t="str">
        <f>IF(OR(AND(Masterdata!$B$4&lt;&gt;DATE(1900,1,0),Masterdata!$B$4&lt;$E28),AND(Masterdata!$B$3&lt;&gt;DATE(1900,1,0),Masterdata!$B$3&gt;$E28)), "0:00", IF($H28&gt;TIME(0,0,0), IF($H28-$V$8&gt;=0, TEXT($H28-$V$8, "[t]:mm"), "-"&amp;TEXT(ABS($H28-$V$8), "[t]:mm")), IFERROR(IF($G28-$V$8=0, IF($G28-$V$8&gt;=0, TEXT($G28-$V$8, "[t]:mm"), "-"&amp;TEXT(ABS($G28-$V$8), "[t]:mm")), IF($J28-$I28&gt;=0, TEXT($J28-$I28, "[t]:mm"), "-"&amp;TEXT(ABS($J28-$I28), "[t]:mm"))), IF($J28-$I28-$V$8&gt;=0, TEXT($J28-$I28-$V$8, "[t]:mm"), "-"&amp;TEXT(ABS($J28-$I28-$V$8), "[t]:mm")))))</f>
        <v>0:00</v>
      </c>
      <c r="L28" s="54" t="str">
        <f t="shared" si="3"/>
        <v>0</v>
      </c>
      <c r="M28" s="58" t="str">
        <f t="shared" si="4"/>
        <v>0</v>
      </c>
      <c r="N28" s="51" t="str">
        <f t="shared" si="5"/>
        <v>00</v>
      </c>
      <c r="O28" s="57">
        <f t="shared" si="6"/>
        <v>0</v>
      </c>
      <c r="P28" s="6">
        <f t="shared" si="7"/>
        <v>0</v>
      </c>
      <c r="Q28" s="63"/>
    </row>
    <row r="29" spans="1:21" ht="15.75" x14ac:dyDescent="0.25">
      <c r="A29" s="12">
        <f t="shared" si="1"/>
        <v>21</v>
      </c>
      <c r="B29" s="13">
        <f t="shared" si="8"/>
        <v>45435</v>
      </c>
      <c r="C29" s="14" t="str" cm="1">
        <f t="array" ref="C29">_xlfn.SWITCH(WEEKDAY($D29, 2), 1, "mandag", 2, "tirsdag", 3, "onsdag", 4, "torsdag", 5, "fredag", 6, "lørdag", 7, "søndag")</f>
        <v>torsdag</v>
      </c>
      <c r="D29">
        <f t="shared" si="0"/>
        <v>5</v>
      </c>
      <c r="E29" s="42">
        <f t="shared" si="2"/>
        <v>45435</v>
      </c>
      <c r="F29" s="15" t="s">
        <v>21</v>
      </c>
      <c r="G29" s="17" cm="1">
        <f t="array" ref="G29">IFERROR(IF(OR(AND(Masterdata!$B$4&lt;&gt;DATE(1900,1,0), Masterdata!$B$4&lt;$E29), AND(Masterdata!$B$3&lt;&gt;DATE(1900,1,0), Masterdata!$B$3&gt;$E29)), IF($H29&gt;TIME(0,0,0), "tast i næste felt", 0), IF($H29&gt;TIME(0,0,0), "Tast i næste felt", IF($H29&gt;0, 0, _xlfn.IFS($C29="lørdag", 0, $C29="søndag", 0, $F29="N", $V$8)))), "Tast i næste felt")</f>
        <v>0.30833333333333335</v>
      </c>
      <c r="H29" s="17">
        <v>0</v>
      </c>
      <c r="I29" s="16">
        <v>0</v>
      </c>
      <c r="J29" s="16">
        <v>0</v>
      </c>
      <c r="K29" s="50" t="str">
        <f>IF(OR(AND(Masterdata!$B$4&lt;&gt;DATE(1900,1,0),Masterdata!$B$4&lt;$E29),AND(Masterdata!$B$3&lt;&gt;DATE(1900,1,0),Masterdata!$B$3&gt;$E29)), "0:00", IF($H29&gt;TIME(0,0,0), IF($H29-$V$8&gt;=0, TEXT($H29-$V$8, "[t]:mm"), "-"&amp;TEXT(ABS($H29-$V$8), "[t]:mm")), IFERROR(IF($G29-$V$8=0, IF($G29-$V$8&gt;=0, TEXT($G29-$V$8, "[t]:mm"), "-"&amp;TEXT(ABS($G29-$V$8), "[t]:mm")), IF($J29-$I29&gt;=0, TEXT($J29-$I29, "[t]:mm"), "-"&amp;TEXT(ABS($J29-$I29), "[t]:mm"))), IF($J29-$I29-$V$8&gt;=0, TEXT($J29-$I29-$V$8, "[t]:mm"), "-"&amp;TEXT(ABS($J29-$I29-$V$8), "[t]:mm")))))</f>
        <v>0:00</v>
      </c>
      <c r="L29" s="54" t="str">
        <f t="shared" si="3"/>
        <v>0</v>
      </c>
      <c r="M29" s="58" t="str">
        <f t="shared" si="4"/>
        <v>0</v>
      </c>
      <c r="N29" s="51" t="str">
        <f t="shared" si="5"/>
        <v>00</v>
      </c>
      <c r="O29" s="57">
        <f t="shared" si="6"/>
        <v>0</v>
      </c>
      <c r="P29" s="6">
        <f t="shared" si="7"/>
        <v>0</v>
      </c>
      <c r="Q29" s="63"/>
    </row>
    <row r="30" spans="1:21" ht="15.75" x14ac:dyDescent="0.25">
      <c r="A30" s="12">
        <f t="shared" si="1"/>
        <v>21</v>
      </c>
      <c r="B30" s="13">
        <f t="shared" si="8"/>
        <v>45436</v>
      </c>
      <c r="C30" s="14" t="str" cm="1">
        <f t="array" ref="C30">_xlfn.SWITCH(WEEKDAY($D30, 2), 1, "mandag", 2, "tirsdag", 3, "onsdag", 4, "torsdag", 5, "fredag", 6, "lørdag", 7, "søndag")</f>
        <v>fredag</v>
      </c>
      <c r="D30">
        <f t="shared" si="0"/>
        <v>6</v>
      </c>
      <c r="E30" s="42">
        <f t="shared" si="2"/>
        <v>45436</v>
      </c>
      <c r="F30" s="15" t="s">
        <v>21</v>
      </c>
      <c r="G30" s="17" cm="1">
        <f t="array" ref="G30">IFERROR(IF(OR(AND(Masterdata!$B$4&lt;&gt;DATE(1900,1,0), Masterdata!$B$4&lt;$E30), AND(Masterdata!$B$3&lt;&gt;DATE(1900,1,0), Masterdata!$B$3&gt;$E30)), IF($H30&gt;TIME(0,0,0), "tast i næste felt", 0), IF($H30&gt;TIME(0,0,0), "Tast i næste felt", IF($H30&gt;0, 0, _xlfn.IFS($C30="lørdag", 0, $C30="søndag", 0, $F30="N", $V$8)))), "Tast i næste felt")</f>
        <v>0.30833333333333335</v>
      </c>
      <c r="H30" s="17">
        <v>0</v>
      </c>
      <c r="I30" s="16">
        <v>0</v>
      </c>
      <c r="J30" s="16">
        <v>0</v>
      </c>
      <c r="K30" s="50" t="str">
        <f>IF(OR(AND(Masterdata!$B$4&lt;&gt;DATE(1900,1,0),Masterdata!$B$4&lt;$E30),AND(Masterdata!$B$3&lt;&gt;DATE(1900,1,0),Masterdata!$B$3&gt;$E30)), "0:00", IF($H30&gt;TIME(0,0,0), IF($H30-$V$8&gt;=0, TEXT($H30-$V$8, "[t]:mm"), "-"&amp;TEXT(ABS($H30-$V$8), "[t]:mm")), IFERROR(IF($G30-$V$8=0, IF($G30-$V$8&gt;=0, TEXT($G30-$V$8, "[t]:mm"), "-"&amp;TEXT(ABS($G30-$V$8), "[t]:mm")), IF($J30-$I30&gt;=0, TEXT($J30-$I30, "[t]:mm"), "-"&amp;TEXT(ABS($J30-$I30), "[t]:mm"))), IF($J30-$I30-$V$8&gt;=0, TEXT($J30-$I30-$V$8, "[t]:mm"), "-"&amp;TEXT(ABS($J30-$I30-$V$8), "[t]:mm")))))</f>
        <v>0:00</v>
      </c>
      <c r="L30" s="54" t="str">
        <f t="shared" si="3"/>
        <v>0</v>
      </c>
      <c r="M30" s="58" t="str">
        <f t="shared" si="4"/>
        <v>0</v>
      </c>
      <c r="N30" s="51" t="str">
        <f t="shared" si="5"/>
        <v>00</v>
      </c>
      <c r="O30" s="57">
        <f t="shared" si="6"/>
        <v>0</v>
      </c>
      <c r="P30" s="6">
        <f t="shared" si="7"/>
        <v>0</v>
      </c>
      <c r="Q30" s="63"/>
    </row>
    <row r="31" spans="1:21" ht="15.75" x14ac:dyDescent="0.25">
      <c r="A31" s="12">
        <f t="shared" si="1"/>
        <v>21</v>
      </c>
      <c r="B31" s="13">
        <f t="shared" si="8"/>
        <v>45437</v>
      </c>
      <c r="C31" s="14" t="str" cm="1">
        <f t="array" ref="C31">_xlfn.SWITCH(WEEKDAY($D31, 2), 1, "mandag", 2, "tirsdag", 3, "onsdag", 4, "torsdag", 5, "fredag", 6, "lørdag", 7, "søndag")</f>
        <v>lørdag</v>
      </c>
      <c r="D31">
        <f t="shared" si="0"/>
        <v>7</v>
      </c>
      <c r="E31" s="42">
        <f t="shared" si="2"/>
        <v>45437</v>
      </c>
      <c r="F31" s="15" t="s">
        <v>21</v>
      </c>
      <c r="G31" s="17" cm="1">
        <f t="array" ref="G31">IFERROR(IF(OR(AND(Masterdata!$B$4&lt;&gt;DATE(1900,1,0), Masterdata!$B$4&lt;$E31), AND(Masterdata!$B$3&lt;&gt;DATE(1900,1,0), Masterdata!$B$3&gt;$E31)), IF($H31&gt;TIME(0,0,0), "tast i næste felt", 0), IF($H31&gt;TIME(0,0,0), "Tast i næste felt", IF($H31&gt;0, 0, _xlfn.IFS($C31="lørdag", 0, $C31="søndag", 0, $F31="N", $V$8)))), "Tast i næste felt")</f>
        <v>0</v>
      </c>
      <c r="H31" s="17">
        <v>0</v>
      </c>
      <c r="I31" s="16">
        <v>0</v>
      </c>
      <c r="J31" s="16">
        <v>0</v>
      </c>
      <c r="K31" s="50" t="str">
        <f>IF(OR(AND(Masterdata!$B$4&lt;&gt;DATE(1900,1,0),Masterdata!$B$4&lt;$E31),AND(Masterdata!$B$3&lt;&gt;DATE(1900,1,0),Masterdata!$B$3&gt;$E31)), "0:00", IF($H31&gt;TIME(0,0,0), IF($H31-$V$8&gt;=0, TEXT($H31-$V$8, "[t]:mm"), "-"&amp;TEXT(ABS($H31-$V$8), "[t]:mm")), IFERROR(IF($G31-$V$8=0, IF($G31-$V$8&gt;=0, TEXT($G31-$V$8, "[t]:mm"), "-"&amp;TEXT(ABS($G31-$V$8), "[t]:mm")), IF($J31-$I31&gt;=0, TEXT($J31-$I31, "[t]:mm"), "-"&amp;TEXT(ABS($J31-$I31), "[t]:mm"))), IF($J31-$I31-$V$8&gt;=0, TEXT($J31-$I31-$V$8, "[t]:mm"), "-"&amp;TEXT(ABS($J31-$I31-$V$8), "[t]:mm")))))</f>
        <v>0:00</v>
      </c>
      <c r="L31" s="54" t="str">
        <f t="shared" si="3"/>
        <v>0</v>
      </c>
      <c r="M31" s="58" t="str">
        <f t="shared" si="4"/>
        <v>0</v>
      </c>
      <c r="N31" s="51" t="str">
        <f t="shared" si="5"/>
        <v>00</v>
      </c>
      <c r="O31" s="57">
        <f t="shared" si="6"/>
        <v>0</v>
      </c>
      <c r="P31" s="6">
        <f t="shared" si="7"/>
        <v>0</v>
      </c>
      <c r="Q31" s="63"/>
    </row>
    <row r="32" spans="1:21" ht="15.75" x14ac:dyDescent="0.25">
      <c r="A32" s="12">
        <f t="shared" si="1"/>
        <v>21</v>
      </c>
      <c r="B32" s="13">
        <f t="shared" si="8"/>
        <v>45438</v>
      </c>
      <c r="C32" s="14" t="str" cm="1">
        <f t="array" ref="C32">_xlfn.SWITCH(WEEKDAY($D32, 2), 1, "mandag", 2, "tirsdag", 3, "onsdag", 4, "torsdag", 5, "fredag", 6, "lørdag", 7, "søndag")</f>
        <v>søndag</v>
      </c>
      <c r="D32">
        <f t="shared" si="0"/>
        <v>8</v>
      </c>
      <c r="E32" s="42">
        <f t="shared" si="2"/>
        <v>45438</v>
      </c>
      <c r="F32" s="15" t="s">
        <v>21</v>
      </c>
      <c r="G32" s="17" cm="1">
        <f t="array" ref="G32">IFERROR(IF(OR(AND(Masterdata!$B$4&lt;&gt;DATE(1900,1,0), Masterdata!$B$4&lt;$E32), AND(Masterdata!$B$3&lt;&gt;DATE(1900,1,0), Masterdata!$B$3&gt;$E32)), IF($H32&gt;TIME(0,0,0), "tast i næste felt", 0), IF($H32&gt;TIME(0,0,0), "Tast i næste felt", IF($H32&gt;0, 0, _xlfn.IFS($C32="lørdag", 0, $C32="søndag", 0, $F32="N", $V$8)))), "Tast i næste felt")</f>
        <v>0</v>
      </c>
      <c r="H32" s="17">
        <v>0</v>
      </c>
      <c r="I32" s="16">
        <v>0</v>
      </c>
      <c r="J32" s="16">
        <v>0</v>
      </c>
      <c r="K32" s="50" t="str">
        <f>IF(OR(AND(Masterdata!$B$4&lt;&gt;DATE(1900,1,0),Masterdata!$B$4&lt;$E32),AND(Masterdata!$B$3&lt;&gt;DATE(1900,1,0),Masterdata!$B$3&gt;$E32)), "0:00", IF($H32&gt;TIME(0,0,0), IF($H32-$V$8&gt;=0, TEXT($H32-$V$8, "[t]:mm"), "-"&amp;TEXT(ABS($H32-$V$8), "[t]:mm")), IFERROR(IF($G32-$V$8=0, IF($G32-$V$8&gt;=0, TEXT($G32-$V$8, "[t]:mm"), "-"&amp;TEXT(ABS($G32-$V$8), "[t]:mm")), IF($J32-$I32&gt;=0, TEXT($J32-$I32, "[t]:mm"), "-"&amp;TEXT(ABS($J32-$I32), "[t]:mm"))), IF($J32-$I32-$V$8&gt;=0, TEXT($J32-$I32-$V$8, "[t]:mm"), "-"&amp;TEXT(ABS($J32-$I32-$V$8), "[t]:mm")))))</f>
        <v>0:00</v>
      </c>
      <c r="L32" s="54" t="str">
        <f t="shared" si="3"/>
        <v>0</v>
      </c>
      <c r="M32" s="58" t="str">
        <f t="shared" si="4"/>
        <v>0</v>
      </c>
      <c r="N32" s="51" t="str">
        <f t="shared" si="5"/>
        <v>00</v>
      </c>
      <c r="O32" s="57">
        <f t="shared" si="6"/>
        <v>0</v>
      </c>
      <c r="P32" s="6">
        <f t="shared" si="7"/>
        <v>0</v>
      </c>
      <c r="Q32" s="63"/>
    </row>
    <row r="33" spans="1:17" ht="15.75" x14ac:dyDescent="0.25">
      <c r="A33" s="12">
        <f t="shared" si="1"/>
        <v>22</v>
      </c>
      <c r="B33" s="13">
        <f t="shared" si="8"/>
        <v>45439</v>
      </c>
      <c r="C33" s="14" t="str" cm="1">
        <f t="array" ref="C33">_xlfn.SWITCH(WEEKDAY($D33, 2), 1, "mandag", 2, "tirsdag", 3, "onsdag", 4, "torsdag", 5, "fredag", 6, "lørdag", 7, "søndag")</f>
        <v>mandag</v>
      </c>
      <c r="D33">
        <f t="shared" si="0"/>
        <v>2</v>
      </c>
      <c r="E33" s="42">
        <f t="shared" si="2"/>
        <v>45439</v>
      </c>
      <c r="F33" s="15" t="s">
        <v>21</v>
      </c>
      <c r="G33" s="17" cm="1">
        <f t="array" ref="G33">IFERROR(IF(OR(AND(Masterdata!$B$4&lt;&gt;DATE(1900,1,0), Masterdata!$B$4&lt;$E33), AND(Masterdata!$B$3&lt;&gt;DATE(1900,1,0), Masterdata!$B$3&gt;$E33)), IF($H33&gt;TIME(0,0,0), "tast i næste felt", 0), IF($H33&gt;TIME(0,0,0), "Tast i næste felt", IF($H33&gt;0, 0, _xlfn.IFS($C33="lørdag", 0, $C33="søndag", 0, $F33="N", $V$8)))), "Tast i næste felt")</f>
        <v>0.30833333333333335</v>
      </c>
      <c r="H33" s="17">
        <v>0</v>
      </c>
      <c r="I33" s="16">
        <v>0</v>
      </c>
      <c r="J33" s="16">
        <v>0</v>
      </c>
      <c r="K33" s="50" t="str">
        <f>IF(OR(AND(Masterdata!$B$4&lt;&gt;DATE(1900,1,0),Masterdata!$B$4&lt;$E33),AND(Masterdata!$B$3&lt;&gt;DATE(1900,1,0),Masterdata!$B$3&gt;$E33)), "0:00", IF($H33&gt;TIME(0,0,0), IF($H33-$V$8&gt;=0, TEXT($H33-$V$8, "[t]:mm"), "-"&amp;TEXT(ABS($H33-$V$8), "[t]:mm")), IFERROR(IF($G33-$V$8=0, IF($G33-$V$8&gt;=0, TEXT($G33-$V$8, "[t]:mm"), "-"&amp;TEXT(ABS($G33-$V$8), "[t]:mm")), IF($J33-$I33&gt;=0, TEXT($J33-$I33, "[t]:mm"), "-"&amp;TEXT(ABS($J33-$I33), "[t]:mm"))), IF($J33-$I33-$V$8&gt;=0, TEXT($J33-$I33-$V$8, "[t]:mm"), "-"&amp;TEXT(ABS($J33-$I33-$V$8), "[t]:mm")))))</f>
        <v>0:00</v>
      </c>
      <c r="L33" s="54" t="str">
        <f t="shared" si="3"/>
        <v>0</v>
      </c>
      <c r="M33" s="58" t="str">
        <f t="shared" si="4"/>
        <v>0</v>
      </c>
      <c r="N33" s="51" t="str">
        <f t="shared" si="5"/>
        <v>00</v>
      </c>
      <c r="O33" s="57">
        <f t="shared" si="6"/>
        <v>0</v>
      </c>
      <c r="P33" s="6">
        <f t="shared" si="7"/>
        <v>0</v>
      </c>
      <c r="Q33" s="63"/>
    </row>
    <row r="34" spans="1:17" ht="15.75" x14ac:dyDescent="0.25">
      <c r="A34" s="12">
        <f t="shared" si="1"/>
        <v>22</v>
      </c>
      <c r="B34" s="13">
        <f t="shared" si="8"/>
        <v>45440</v>
      </c>
      <c r="C34" s="14" t="str" cm="1">
        <f t="array" ref="C34">_xlfn.SWITCH(WEEKDAY($D34, 2), 1, "mandag", 2, "tirsdag", 3, "onsdag", 4, "torsdag", 5, "fredag", 6, "lørdag", 7, "søndag")</f>
        <v>tirsdag</v>
      </c>
      <c r="D34">
        <f t="shared" si="0"/>
        <v>3</v>
      </c>
      <c r="E34" s="42">
        <f t="shared" si="2"/>
        <v>45440</v>
      </c>
      <c r="F34" s="15" t="s">
        <v>21</v>
      </c>
      <c r="G34" s="17" cm="1">
        <f t="array" ref="G34">IFERROR(IF(OR(AND(Masterdata!$B$4&lt;&gt;DATE(1900,1,0), Masterdata!$B$4&lt;$E34), AND(Masterdata!$B$3&lt;&gt;DATE(1900,1,0), Masterdata!$B$3&gt;$E34)), IF($H34&gt;TIME(0,0,0), "tast i næste felt", 0), IF($H34&gt;TIME(0,0,0), "Tast i næste felt", IF($H34&gt;0, 0, _xlfn.IFS($C34="lørdag", 0, $C34="søndag", 0, $F34="N", $V$8)))), "Tast i næste felt")</f>
        <v>0.30833333333333335</v>
      </c>
      <c r="H34" s="17">
        <v>0</v>
      </c>
      <c r="I34" s="16">
        <v>0</v>
      </c>
      <c r="J34" s="16">
        <v>0</v>
      </c>
      <c r="K34" s="50" t="str">
        <f>IF(OR(AND(Masterdata!$B$4&lt;&gt;DATE(1900,1,0),Masterdata!$B$4&lt;$E34),AND(Masterdata!$B$3&lt;&gt;DATE(1900,1,0),Masterdata!$B$3&gt;$E34)), "0:00", IF($H34&gt;TIME(0,0,0), IF($H34-$V$8&gt;=0, TEXT($H34-$V$8, "[t]:mm"), "-"&amp;TEXT(ABS($H34-$V$8), "[t]:mm")), IFERROR(IF($G34-$V$8=0, IF($G34-$V$8&gt;=0, TEXT($G34-$V$8, "[t]:mm"), "-"&amp;TEXT(ABS($G34-$V$8), "[t]:mm")), IF($J34-$I34&gt;=0, TEXT($J34-$I34, "[t]:mm"), "-"&amp;TEXT(ABS($J34-$I34), "[t]:mm"))), IF($J34-$I34-$V$8&gt;=0, TEXT($J34-$I34-$V$8, "[t]:mm"), "-"&amp;TEXT(ABS($J34-$I34-$V$8), "[t]:mm")))))</f>
        <v>0:00</v>
      </c>
      <c r="L34" s="54" t="str">
        <f t="shared" si="3"/>
        <v>0</v>
      </c>
      <c r="M34" s="58" t="str">
        <f t="shared" si="4"/>
        <v>0</v>
      </c>
      <c r="N34" s="51" t="str">
        <f t="shared" si="5"/>
        <v>00</v>
      </c>
      <c r="O34" s="57">
        <f t="shared" si="6"/>
        <v>0</v>
      </c>
      <c r="P34" s="6">
        <f t="shared" si="7"/>
        <v>0</v>
      </c>
      <c r="Q34" s="63"/>
    </row>
    <row r="35" spans="1:17" ht="15.75" x14ac:dyDescent="0.25">
      <c r="A35" s="12">
        <f t="shared" si="1"/>
        <v>22</v>
      </c>
      <c r="B35" s="13">
        <f t="shared" si="8"/>
        <v>45441</v>
      </c>
      <c r="C35" s="14" t="str" cm="1">
        <f t="array" ref="C35">_xlfn.SWITCH(WEEKDAY($D35, 2), 1, "mandag", 2, "tirsdag", 3, "onsdag", 4, "torsdag", 5, "fredag", 6, "lørdag", 7, "søndag")</f>
        <v>onsdag</v>
      </c>
      <c r="D35">
        <f t="shared" si="0"/>
        <v>4</v>
      </c>
      <c r="E35" s="42">
        <f t="shared" si="2"/>
        <v>45441</v>
      </c>
      <c r="F35" s="15" t="s">
        <v>21</v>
      </c>
      <c r="G35" s="17" cm="1">
        <f t="array" ref="G35">IFERROR(IF(OR(AND(Masterdata!$B$4&lt;&gt;DATE(1900,1,0), Masterdata!$B$4&lt;$E35), AND(Masterdata!$B$3&lt;&gt;DATE(1900,1,0), Masterdata!$B$3&gt;$E35)), IF($H35&gt;TIME(0,0,0), "tast i næste felt", 0), IF($H35&gt;TIME(0,0,0), "Tast i næste felt", IF($H35&gt;0, 0, _xlfn.IFS($C35="lørdag", 0, $C35="søndag", 0, $F35="N", $V$8)))), "Tast i næste felt")</f>
        <v>0.30833333333333335</v>
      </c>
      <c r="H35" s="17">
        <v>0</v>
      </c>
      <c r="I35" s="16">
        <v>0</v>
      </c>
      <c r="J35" s="16">
        <v>0</v>
      </c>
      <c r="K35" s="50" t="str">
        <f>IF(OR(AND(Masterdata!$B$4&lt;&gt;DATE(1900,1,0),Masterdata!$B$4&lt;$E35),AND(Masterdata!$B$3&lt;&gt;DATE(1900,1,0),Masterdata!$B$3&gt;$E35)), "0:00", IF($H35&gt;TIME(0,0,0), IF($H35-$V$8&gt;=0, TEXT($H35-$V$8, "[t]:mm"), "-"&amp;TEXT(ABS($H35-$V$8), "[t]:mm")), IFERROR(IF($G35-$V$8=0, IF($G35-$V$8&gt;=0, TEXT($G35-$V$8, "[t]:mm"), "-"&amp;TEXT(ABS($G35-$V$8), "[t]:mm")), IF($J35-$I35&gt;=0, TEXT($J35-$I35, "[t]:mm"), "-"&amp;TEXT(ABS($J35-$I35), "[t]:mm"))), IF($J35-$I35-$V$8&gt;=0, TEXT($J35-$I35-$V$8, "[t]:mm"), "-"&amp;TEXT(ABS($J35-$I35-$V$8), "[t]:mm")))))</f>
        <v>0:00</v>
      </c>
      <c r="L35" s="54" t="str">
        <f t="shared" si="3"/>
        <v>0</v>
      </c>
      <c r="M35" s="58" t="str">
        <f t="shared" si="4"/>
        <v>0</v>
      </c>
      <c r="N35" s="51" t="str">
        <f t="shared" si="5"/>
        <v>00</v>
      </c>
      <c r="O35" s="57">
        <f t="shared" si="6"/>
        <v>0</v>
      </c>
      <c r="P35" s="6">
        <f t="shared" si="7"/>
        <v>0</v>
      </c>
      <c r="Q35" s="63"/>
    </row>
    <row r="36" spans="1:17" ht="15.75" x14ac:dyDescent="0.25">
      <c r="A36" s="12">
        <f t="shared" si="1"/>
        <v>22</v>
      </c>
      <c r="B36" s="13">
        <f t="shared" si="8"/>
        <v>45442</v>
      </c>
      <c r="C36" s="14" t="str" cm="1">
        <f t="array" ref="C36">_xlfn.SWITCH(WEEKDAY($D36, 2), 1, "mandag", 2, "tirsdag", 3, "onsdag", 4, "torsdag", 5, "fredag", 6, "lørdag", 7, "søndag")</f>
        <v>torsdag</v>
      </c>
      <c r="D36">
        <f t="shared" si="0"/>
        <v>5</v>
      </c>
      <c r="E36" s="42">
        <f t="shared" si="2"/>
        <v>45442</v>
      </c>
      <c r="F36" s="15" t="s">
        <v>21</v>
      </c>
      <c r="G36" s="17" cm="1">
        <f t="array" ref="G36">IFERROR(IF(OR(AND(Masterdata!$B$4&lt;&gt;DATE(1900,1,0), Masterdata!$B$4&lt;$E36), AND(Masterdata!$B$3&lt;&gt;DATE(1900,1,0), Masterdata!$B$3&gt;$E36)), IF($H36&gt;TIME(0,0,0), "tast i næste felt", 0), IF($H36&gt;TIME(0,0,0), "Tast i næste felt", IF($H36&gt;0, 0, _xlfn.IFS($C36="lørdag", 0, $C36="søndag", 0, $F36="N", $V$8)))), "Tast i næste felt")</f>
        <v>0.30833333333333335</v>
      </c>
      <c r="H36" s="17">
        <v>0</v>
      </c>
      <c r="I36" s="16">
        <v>0</v>
      </c>
      <c r="J36" s="16">
        <v>0</v>
      </c>
      <c r="K36" s="50" t="str">
        <f>IF(OR(AND(Masterdata!$B$4&lt;&gt;DATE(1900,1,0),Masterdata!$B$4&lt;$E36),AND(Masterdata!$B$3&lt;&gt;DATE(1900,1,0),Masterdata!$B$3&gt;$E36)), "0:00", IF($H36&gt;TIME(0,0,0), IF($H36-$V$8&gt;=0, TEXT($H36-$V$8, "[t]:mm"), "-"&amp;TEXT(ABS($H36-$V$8), "[t]:mm")), IFERROR(IF($G36-$V$8=0, IF($G36-$V$8&gt;=0, TEXT($G36-$V$8, "[t]:mm"), "-"&amp;TEXT(ABS($G36-$V$8), "[t]:mm")), IF($J36-$I36&gt;=0, TEXT($J36-$I36, "[t]:mm"), "-"&amp;TEXT(ABS($J36-$I36), "[t]:mm"))), IF($J36-$I36-$V$8&gt;=0, TEXT($J36-$I36-$V$8, "[t]:mm"), "-"&amp;TEXT(ABS($J36-$I36-$V$8), "[t]:mm")))))</f>
        <v>0:00</v>
      </c>
      <c r="L36" s="54" t="str">
        <f t="shared" si="3"/>
        <v>0</v>
      </c>
      <c r="M36" s="58" t="str">
        <f t="shared" si="4"/>
        <v>0</v>
      </c>
      <c r="N36" s="51" t="str">
        <f t="shared" si="5"/>
        <v>00</v>
      </c>
      <c r="O36" s="57">
        <f t="shared" si="6"/>
        <v>0</v>
      </c>
      <c r="P36" s="6">
        <f t="shared" si="7"/>
        <v>0</v>
      </c>
      <c r="Q36" s="63"/>
    </row>
    <row r="37" spans="1:17" ht="15.75" x14ac:dyDescent="0.25">
      <c r="A37" s="12">
        <f t="shared" si="1"/>
        <v>22</v>
      </c>
      <c r="B37" s="13">
        <f t="shared" si="8"/>
        <v>45443</v>
      </c>
      <c r="C37" s="14" t="str" cm="1">
        <f t="array" ref="C37">_xlfn.SWITCH(WEEKDAY($D37, 2), 1, "mandag", 2, "tirsdag", 3, "onsdag", 4, "torsdag", 5, "fredag", 6, "lørdag", 7, "søndag")</f>
        <v>fredag</v>
      </c>
      <c r="D37">
        <f t="shared" si="0"/>
        <v>6</v>
      </c>
      <c r="E37" s="42">
        <f t="shared" si="2"/>
        <v>45443</v>
      </c>
      <c r="F37" s="15" t="s">
        <v>21</v>
      </c>
      <c r="G37" s="17" cm="1">
        <f t="array" ref="G37">IFERROR(IF(OR(AND(Masterdata!$B$4&lt;&gt;DATE(1900,1,0), Masterdata!$B$4&lt;$E37), AND(Masterdata!$B$3&lt;&gt;DATE(1900,1,0), Masterdata!$B$3&gt;$E37)), IF($H37&gt;TIME(0,0,0), "tast i næste felt", 0), IF($H37&gt;TIME(0,0,0), "Tast i næste felt", IF($H37&gt;0, 0, _xlfn.IFS($C37="lørdag", 0, $C37="søndag", 0, $F37="N", $V$8)))), "Tast i næste felt")</f>
        <v>0.30833333333333335</v>
      </c>
      <c r="H37" s="17">
        <v>0</v>
      </c>
      <c r="I37" s="16">
        <v>0</v>
      </c>
      <c r="J37" s="16">
        <v>0</v>
      </c>
      <c r="K37" s="50" t="str">
        <f>IF(OR(AND(Masterdata!$B$4&lt;&gt;DATE(1900,1,0),Masterdata!$B$4&lt;$E37),AND(Masterdata!$B$3&lt;&gt;DATE(1900,1,0),Masterdata!$B$3&gt;$E37)), "0:00", IF($H37&gt;TIME(0,0,0), IF($H37-$V$8&gt;=0, TEXT($H37-$V$8, "[t]:mm"), "-"&amp;TEXT(ABS($H37-$V$8), "[t]:mm")), IFERROR(IF($G37-$V$8=0, IF($G37-$V$8&gt;=0, TEXT($G37-$V$8, "[t]:mm"), "-"&amp;TEXT(ABS($G37-$V$8), "[t]:mm")), IF($J37-$I37&gt;=0, TEXT($J37-$I37, "[t]:mm"), "-"&amp;TEXT(ABS($J37-$I37), "[t]:mm"))), IF($J37-$I37-$V$8&gt;=0, TEXT($J37-$I37-$V$8, "[t]:mm"), "-"&amp;TEXT(ABS($J37-$I37-$V$8), "[t]:mm")))))</f>
        <v>0:00</v>
      </c>
      <c r="L37" s="54" t="str">
        <f t="shared" si="3"/>
        <v>0</v>
      </c>
      <c r="M37" s="58" t="str">
        <f t="shared" si="4"/>
        <v>0</v>
      </c>
      <c r="N37" s="51" t="str">
        <f t="shared" si="5"/>
        <v>00</v>
      </c>
      <c r="O37" s="57">
        <f t="shared" si="6"/>
        <v>0</v>
      </c>
      <c r="P37" s="6">
        <f t="shared" si="7"/>
        <v>0</v>
      </c>
      <c r="Q37" s="63"/>
    </row>
    <row r="38" spans="1:17" x14ac:dyDescent="0.25">
      <c r="K38" s="8"/>
      <c r="P38" s="6"/>
    </row>
  </sheetData>
  <conditionalFormatting sqref="A7:J37">
    <cfRule type="expression" dxfId="38" priority="2">
      <formula>OR($C7="lørdag", $C7="søndag")</formula>
    </cfRule>
  </conditionalFormatting>
  <conditionalFormatting sqref="G7:G37">
    <cfRule type="expression" dxfId="37" priority="4">
      <formula>AND($F7="N", NOT(OR($C7="lørdag", $C7="søndag")))</formula>
    </cfRule>
  </conditionalFormatting>
  <conditionalFormatting sqref="H7:J37">
    <cfRule type="expression" dxfId="36" priority="1">
      <formula>OR($F7="N")</formula>
    </cfRule>
    <cfRule type="expression" dxfId="35" priority="3">
      <formula>$F7="R"</formula>
    </cfRule>
  </conditionalFormatting>
  <dataValidations count="1">
    <dataValidation type="list" allowBlank="1" showInputMessage="1" showErrorMessage="1" sqref="F7:F37" xr:uid="{0BAC848C-B1A1-4F79-AA0D-0CF9F825FF8E}">
      <formula1>$Q$2:$Q$3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3370-E76C-491D-BF4A-D11C96C0888F}">
  <dimension ref="A1:X37"/>
  <sheetViews>
    <sheetView zoomScale="70" zoomScaleNormal="70" workbookViewId="0">
      <selection activeCell="G7" sqref="G7"/>
    </sheetView>
  </sheetViews>
  <sheetFormatPr defaultRowHeight="15" outlineLevelCol="1" x14ac:dyDescent="0.25"/>
  <cols>
    <col min="1" max="1" width="11.28515625" customWidth="1"/>
    <col min="2" max="2" width="14.140625" customWidth="1"/>
    <col min="3" max="3" width="11.28515625" customWidth="1"/>
    <col min="4" max="4" width="15" hidden="1" customWidth="1"/>
    <col min="5" max="5" width="12.85546875" hidden="1" customWidth="1"/>
    <col min="6" max="6" width="11.28515625" customWidth="1"/>
    <col min="7" max="7" width="16.28515625" bestFit="1" customWidth="1"/>
    <col min="8" max="8" width="17.85546875" customWidth="1"/>
    <col min="9" max="11" width="11.28515625" customWidth="1"/>
    <col min="12" max="13" width="11.140625" hidden="1" customWidth="1" outlineLevel="1"/>
    <col min="14" max="14" width="90.7109375" hidden="1" customWidth="1" outlineLevel="1"/>
    <col min="15" max="15" width="27.28515625" hidden="1" customWidth="1" outlineLevel="1"/>
    <col min="16" max="16" width="12" hidden="1" customWidth="1" outlineLevel="1"/>
    <col min="17" max="17" width="14.14062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36" t="s">
        <v>18</v>
      </c>
      <c r="B1" s="37">
        <v>37</v>
      </c>
      <c r="Q1" s="45" t="s">
        <v>19</v>
      </c>
      <c r="R1" s="46" t="s">
        <v>20</v>
      </c>
    </row>
    <row r="2" spans="1:24" ht="31.5" x14ac:dyDescent="0.25">
      <c r="A2" s="34" t="s">
        <v>4</v>
      </c>
      <c r="B2" s="59">
        <f>SUM(P7:P36)</f>
        <v>0</v>
      </c>
      <c r="Q2" s="47" t="s">
        <v>21</v>
      </c>
      <c r="R2" s="49" t="s">
        <v>22</v>
      </c>
    </row>
    <row r="3" spans="1:24" ht="63" x14ac:dyDescent="0.25">
      <c r="A3" s="39" t="s">
        <v>0</v>
      </c>
      <c r="B3" s="40">
        <f>B7</f>
        <v>45444</v>
      </c>
      <c r="Q3" s="48" t="s">
        <v>23</v>
      </c>
      <c r="R3" s="61" t="s">
        <v>24</v>
      </c>
    </row>
    <row r="4" spans="1:24" ht="16.5" thickBot="1" x14ac:dyDescent="0.3">
      <c r="A4" s="35" t="s">
        <v>17</v>
      </c>
      <c r="B4" s="41">
        <f>B7</f>
        <v>45444</v>
      </c>
      <c r="Q4" s="44" t="s">
        <v>25</v>
      </c>
      <c r="R4" s="43" t="s">
        <v>26</v>
      </c>
    </row>
    <row r="5" spans="1:24" ht="15.75" thickBot="1" x14ac:dyDescent="0.3"/>
    <row r="6" spans="1:24" ht="21.75" customHeight="1" thickBot="1" x14ac:dyDescent="0.3">
      <c r="A6" s="9" t="s">
        <v>27</v>
      </c>
      <c r="B6" s="10" t="s">
        <v>28</v>
      </c>
      <c r="C6" s="10" t="s">
        <v>29</v>
      </c>
      <c r="D6" s="10" t="s">
        <v>30</v>
      </c>
      <c r="E6" s="10" t="s">
        <v>31</v>
      </c>
      <c r="F6" s="10" t="s">
        <v>19</v>
      </c>
      <c r="G6" s="10" t="s">
        <v>32</v>
      </c>
      <c r="H6" s="10" t="s">
        <v>33</v>
      </c>
      <c r="I6" s="11" t="s">
        <v>34</v>
      </c>
      <c r="J6" s="11" t="s">
        <v>35</v>
      </c>
      <c r="K6" s="10" t="s">
        <v>36</v>
      </c>
      <c r="L6" s="55" t="s">
        <v>37</v>
      </c>
      <c r="M6" s="56" t="s">
        <v>38</v>
      </c>
      <c r="N6" s="56" t="s">
        <v>39</v>
      </c>
      <c r="O6" s="56"/>
      <c r="Q6" s="10" t="s">
        <v>40</v>
      </c>
      <c r="U6" t="s">
        <v>41</v>
      </c>
      <c r="V6">
        <v>5</v>
      </c>
    </row>
    <row r="7" spans="1:24" ht="15.75" x14ac:dyDescent="0.25">
      <c r="A7" s="12">
        <f>WEEKNUM($B7,21)</f>
        <v>22</v>
      </c>
      <c r="B7" s="13">
        <f>DATE(Masterdata!$B$5,6,1)</f>
        <v>45444</v>
      </c>
      <c r="C7" s="14" t="str" cm="1">
        <f t="array" ref="C7">_xlfn.SWITCH(WEEKDAY($D7, 2), 1, "mandag", 2, "tirsdag", 3, "onsdag", 4, "torsdag", 5, "fredag", 6, "lørdag", 7, "søndag")</f>
        <v>lørdag</v>
      </c>
      <c r="D7">
        <f t="shared" ref="D7:D36" si="0">WEEKDAY($B7, 2)+1</f>
        <v>7</v>
      </c>
      <c r="E7" s="42">
        <f>$B7</f>
        <v>45444</v>
      </c>
      <c r="F7" s="15" t="s">
        <v>21</v>
      </c>
      <c r="G7" s="17" cm="1">
        <f t="array" ref="G7">IFERROR(IF(OR(AND(Masterdata!$B$4&lt;&gt;DATE(1900,1,0), Masterdata!$B$4&lt;$E7), AND(Masterdata!$B$3&lt;&gt;DATE(1900,1,0), Masterdata!$B$3&gt;$E7)), IF($H7&gt;TIME(0,0,0), "tast i næste felt", 0), IF($H7&gt;TIME(0,0,0), "Tast i næste felt", IF($H7&gt;0, 0, _xlfn.IFS($C7="lørdag", 0, $C7="søndag", 0, $F7="N", $V$8)))), "Tast i næste felt")</f>
        <v>0</v>
      </c>
      <c r="H7" s="17">
        <v>0</v>
      </c>
      <c r="I7" s="16">
        <v>0</v>
      </c>
      <c r="J7" s="16">
        <v>0</v>
      </c>
      <c r="K7" s="60" t="str">
        <f>IF(OR(AND(Masterdata!$B$4&lt;&gt;DATE(1900,1,0),Masterdata!$B$4&lt;$E7),AND(Masterdata!$B$3&lt;&gt;DATE(1900,1,0),Masterdata!$B$3&gt;$E7)), "0:00", IF($H7&gt;TIME(0,0,0), IF($H7-$V$8&gt;=0, TEXT($H7-$V$8, "[t]:mm"), "-"&amp;TEXT(ABS($H7-$V$8), "[t]:mm")), IFERROR(IF($G7-$V$8=0, IF($G7-$V$8&gt;=0, TEXT($G7-$V$8, "[t]:mm"), "-"&amp;TEXT(ABS($G7-$V$8), "[t]:mm")), IF($J7-$I7&gt;=0, TEXT($J7-$I7, "[t]:mm"), "-"&amp;TEXT(ABS($J7-$I7), "[t]:mm"))), IF($J7-$I7-$V$8&gt;=0, TEXT($J7-$I7-$V$8, "[t]:mm"), "-"&amp;TEXT(ABS($J7-$I7-$V$8), "[t]:mm")))))</f>
        <v>0:00</v>
      </c>
      <c r="L7" s="54" t="str">
        <f>LEFT(K7,1)</f>
        <v>0</v>
      </c>
      <c r="M7" s="58" t="str">
        <f>IF($L7="-",LEFT($K7,2),LEFT($K7,1))</f>
        <v>0</v>
      </c>
      <c r="N7" s="51" t="str">
        <f>IF($L7="-",MID($K7,4,2),MID($K7,3,2))</f>
        <v>00</v>
      </c>
      <c r="O7" s="57">
        <f>N7/60</f>
        <v>0</v>
      </c>
      <c r="P7" s="6">
        <f>IF(L7="-",M7-O7,M7+O7)</f>
        <v>0</v>
      </c>
      <c r="Q7" s="62"/>
      <c r="R7" s="53"/>
      <c r="U7" t="s">
        <v>42</v>
      </c>
      <c r="V7" s="3">
        <f>B1/V6</f>
        <v>7.4</v>
      </c>
      <c r="W7">
        <v>0</v>
      </c>
      <c r="X7" s="8"/>
    </row>
    <row r="8" spans="1:24" ht="15.75" x14ac:dyDescent="0.25">
      <c r="A8" s="12">
        <f t="shared" ref="A8:A36" si="1">WEEKNUM($B8,21)</f>
        <v>22</v>
      </c>
      <c r="B8" s="13">
        <f>B7+1</f>
        <v>45445</v>
      </c>
      <c r="C8" s="14" t="str" cm="1">
        <f t="array" ref="C8">_xlfn.SWITCH(WEEKDAY($D8, 2), 1, "mandag", 2, "tirsdag", 3, "onsdag", 4, "torsdag", 5, "fredag", 6, "lørdag", 7, "søndag")</f>
        <v>søndag</v>
      </c>
      <c r="D8">
        <f t="shared" si="0"/>
        <v>8</v>
      </c>
      <c r="E8" s="42">
        <f t="shared" ref="E8:E36" si="2">$B8</f>
        <v>45445</v>
      </c>
      <c r="F8" s="15" t="s">
        <v>21</v>
      </c>
      <c r="G8" s="17" cm="1">
        <f t="array" ref="G8">IFERROR(IF(OR(AND(Masterdata!$B$4&lt;&gt;DATE(1900,1,0), Masterdata!$B$4&lt;$E8), AND(Masterdata!$B$3&lt;&gt;DATE(1900,1,0), Masterdata!$B$3&gt;$E8)), IF($H8&gt;TIME(0,0,0), "tast i næste felt", 0), IF($H8&gt;TIME(0,0,0), "Tast i næste felt", IF($H8&gt;0, 0, _xlfn.IFS($C8="lørdag", 0, $C8="søndag", 0, $F8="N", $V$8)))), "Tast i næste felt")</f>
        <v>0</v>
      </c>
      <c r="H8" s="17">
        <v>0</v>
      </c>
      <c r="I8" s="16">
        <v>0</v>
      </c>
      <c r="J8" s="16">
        <v>0</v>
      </c>
      <c r="K8" s="50" t="str">
        <f>IF(OR(AND(Masterdata!$B$4&lt;&gt;DATE(1900,1,0),Masterdata!$B$4&lt;$E8),AND(Masterdata!$B$3&lt;&gt;DATE(1900,1,0),Masterdata!$B$3&gt;$E8)), "0:00", IF($H8&gt;TIME(0,0,0), IF($H8-$V$8&gt;=0, TEXT($H8-$V$8, "[t]:mm"), "-"&amp;TEXT(ABS($H8-$V$8), "[t]:mm")), IFERROR(IF($G8-$V$8=0, IF($G8-$V$8&gt;=0, TEXT($G8-$V$8, "[t]:mm"), "-"&amp;TEXT(ABS($G8-$V$8), "[t]:mm")), IF($J8-$I8&gt;=0, TEXT($J8-$I8, "[t]:mm"), "-"&amp;TEXT(ABS($J8-$I8), "[t]:mm"))), IF($J8-$I8-$V$8&gt;=0, TEXT($J8-$I8-$V$8, "[t]:mm"), "-"&amp;TEXT(ABS($J8-$I8-$V$8), "[t]:mm")))))</f>
        <v>0:00</v>
      </c>
      <c r="L8" s="54" t="str">
        <f t="shared" ref="L8:L36" si="3">LEFT(K8,1)</f>
        <v>0</v>
      </c>
      <c r="M8" s="58" t="str">
        <f t="shared" ref="M8:M36" si="4">IF($L8="-",LEFT($K8,2),LEFT($K8,1))</f>
        <v>0</v>
      </c>
      <c r="N8" s="51" t="str">
        <f t="shared" ref="N8:N36" si="5">IF($L8="-",MID($K8,4,2),MID($K8,3,2))</f>
        <v>00</v>
      </c>
      <c r="O8" s="57">
        <f t="shared" ref="O8:O36" si="6">N8/60</f>
        <v>0</v>
      </c>
      <c r="P8" s="6">
        <f t="shared" ref="P8:P36" si="7">IF(L8="-",M8-O8,M8+O8)</f>
        <v>0</v>
      </c>
      <c r="Q8" s="63"/>
      <c r="U8" t="s">
        <v>43</v>
      </c>
      <c r="V8" s="8">
        <f>V7/24</f>
        <v>0.30833333333333335</v>
      </c>
    </row>
    <row r="9" spans="1:24" ht="15.75" x14ac:dyDescent="0.25">
      <c r="A9" s="12">
        <f t="shared" si="1"/>
        <v>23</v>
      </c>
      <c r="B9" s="13">
        <f t="shared" ref="B9:B36" si="8">B8+1</f>
        <v>45446</v>
      </c>
      <c r="C9" s="14" t="str" cm="1">
        <f t="array" ref="C9">_xlfn.SWITCH(WEEKDAY($D9, 2), 1, "mandag", 2, "tirsdag", 3, "onsdag", 4, "torsdag", 5, "fredag", 6, "lørdag", 7, "søndag")</f>
        <v>mandag</v>
      </c>
      <c r="D9">
        <f t="shared" si="0"/>
        <v>2</v>
      </c>
      <c r="E9" s="42">
        <f t="shared" si="2"/>
        <v>45446</v>
      </c>
      <c r="F9" s="15" t="s">
        <v>21</v>
      </c>
      <c r="G9" s="17" cm="1">
        <f t="array" ref="G9">IFERROR(IF(OR(AND(Masterdata!$B$4&lt;&gt;DATE(1900,1,0), Masterdata!$B$4&lt;$E9), AND(Masterdata!$B$3&lt;&gt;DATE(1900,1,0), Masterdata!$B$3&gt;$E9)), IF($H9&gt;TIME(0,0,0), "tast i næste felt", 0), IF($H9&gt;TIME(0,0,0), "Tast i næste felt", IF($H9&gt;0, 0, _xlfn.IFS($C9="lørdag", 0, $C9="søndag", 0, $F9="N", $V$8)))), "Tast i næste felt")</f>
        <v>0.30833333333333335</v>
      </c>
      <c r="H9" s="17">
        <v>0</v>
      </c>
      <c r="I9" s="16">
        <v>0</v>
      </c>
      <c r="J9" s="16">
        <v>0</v>
      </c>
      <c r="K9" s="50" t="str">
        <f>IF(OR(AND(Masterdata!$B$4&lt;&gt;DATE(1900,1,0),Masterdata!$B$4&lt;$E9),AND(Masterdata!$B$3&lt;&gt;DATE(1900,1,0),Masterdata!$B$3&gt;$E9)), "0:00", IF($H9&gt;TIME(0,0,0), IF($H9-$V$8&gt;=0, TEXT($H9-$V$8, "[t]:mm"), "-"&amp;TEXT(ABS($H9-$V$8), "[t]:mm")), IFERROR(IF($G9-$V$8=0, IF($G9-$V$8&gt;=0, TEXT($G9-$V$8, "[t]:mm"), "-"&amp;TEXT(ABS($G9-$V$8), "[t]:mm")), IF($J9-$I9&gt;=0, TEXT($J9-$I9, "[t]:mm"), "-"&amp;TEXT(ABS($J9-$I9), "[t]:mm"))), IF($J9-$I9-$V$8&gt;=0, TEXT($J9-$I9-$V$8, "[t]:mm"), "-"&amp;TEXT(ABS($J9-$I9-$V$8), "[t]:mm")))))</f>
        <v>0:00</v>
      </c>
      <c r="L9" s="54" t="str">
        <f t="shared" si="3"/>
        <v>0</v>
      </c>
      <c r="M9" s="58" t="str">
        <f t="shared" si="4"/>
        <v>0</v>
      </c>
      <c r="N9" s="51" t="str">
        <f t="shared" si="5"/>
        <v>00</v>
      </c>
      <c r="O9" s="57">
        <f t="shared" si="6"/>
        <v>0</v>
      </c>
      <c r="P9" s="6">
        <f t="shared" si="7"/>
        <v>0</v>
      </c>
      <c r="Q9" s="63"/>
      <c r="S9" t="s">
        <v>21</v>
      </c>
      <c r="T9" t="s">
        <v>44</v>
      </c>
      <c r="U9" t="s">
        <v>45</v>
      </c>
      <c r="V9" s="6">
        <f>(B1/37)*160.33</f>
        <v>160.33000000000001</v>
      </c>
    </row>
    <row r="10" spans="1:24" ht="15.75" x14ac:dyDescent="0.25">
      <c r="A10" s="12">
        <f t="shared" si="1"/>
        <v>23</v>
      </c>
      <c r="B10" s="13">
        <f t="shared" si="8"/>
        <v>45447</v>
      </c>
      <c r="C10" s="14" t="str" cm="1">
        <f t="array" ref="C10">_xlfn.SWITCH(WEEKDAY($D10, 2), 1, "mandag", 2, "tirsdag", 3, "onsdag", 4, "torsdag", 5, "fredag", 6, "lørdag", 7, "søndag")</f>
        <v>tirsdag</v>
      </c>
      <c r="D10">
        <f t="shared" si="0"/>
        <v>3</v>
      </c>
      <c r="E10" s="42">
        <f t="shared" si="2"/>
        <v>45447</v>
      </c>
      <c r="F10" s="15" t="s">
        <v>21</v>
      </c>
      <c r="G10" s="17" cm="1">
        <f t="array" ref="G10">IFERROR(IF(OR(AND(Masterdata!$B$4&lt;&gt;DATE(1900,1,0), Masterdata!$B$4&lt;$E10), AND(Masterdata!$B$3&lt;&gt;DATE(1900,1,0), Masterdata!$B$3&gt;$E10)), IF($H10&gt;TIME(0,0,0), "tast i næste felt", 0), IF($H10&gt;TIME(0,0,0), "Tast i næste felt", IF($H10&gt;0, 0, _xlfn.IFS($C10="lørdag", 0, $C10="søndag", 0, $F10="N", $V$8)))), "Tast i næste felt")</f>
        <v>0.30833333333333335</v>
      </c>
      <c r="H10" s="17">
        <v>0</v>
      </c>
      <c r="I10" s="16">
        <v>0</v>
      </c>
      <c r="J10" s="16">
        <v>0</v>
      </c>
      <c r="K10" s="50" t="str">
        <f>IF(OR(AND(Masterdata!$B$4&lt;&gt;DATE(1900,1,0),Masterdata!$B$4&lt;$E10),AND(Masterdata!$B$3&lt;&gt;DATE(1900,1,0),Masterdata!$B$3&gt;$E10)), "0:00", IF($H10&gt;TIME(0,0,0), IF($H10-$V$8&gt;=0, TEXT($H10-$V$8, "[t]:mm"), "-"&amp;TEXT(ABS($H10-$V$8), "[t]:mm")), IFERROR(IF($G10-$V$8=0, IF($G10-$V$8&gt;=0, TEXT($G10-$V$8, "[t]:mm"), "-"&amp;TEXT(ABS($G10-$V$8), "[t]:mm")), IF($J10-$I10&gt;=0, TEXT($J10-$I10, "[t]:mm"), "-"&amp;TEXT(ABS($J10-$I10), "[t]:mm"))), IF($J10-$I10-$V$8&gt;=0, TEXT($J10-$I10-$V$8, "[t]:mm"), "-"&amp;TEXT(ABS($J10-$I10-$V$8), "[t]:mm")))))</f>
        <v>0:00</v>
      </c>
      <c r="L10" s="54" t="str">
        <f t="shared" si="3"/>
        <v>0</v>
      </c>
      <c r="M10" s="58" t="str">
        <f t="shared" si="4"/>
        <v>0</v>
      </c>
      <c r="N10" s="51" t="str">
        <f t="shared" si="5"/>
        <v>00</v>
      </c>
      <c r="O10" s="57">
        <f t="shared" si="6"/>
        <v>0</v>
      </c>
      <c r="P10" s="6">
        <f t="shared" si="7"/>
        <v>0</v>
      </c>
      <c r="Q10" s="63"/>
    </row>
    <row r="11" spans="1:24" ht="15.75" x14ac:dyDescent="0.25">
      <c r="A11" s="12">
        <f t="shared" si="1"/>
        <v>23</v>
      </c>
      <c r="B11" s="13">
        <f t="shared" si="8"/>
        <v>45448</v>
      </c>
      <c r="C11" s="14" t="str" cm="1">
        <f t="array" ref="C11">_xlfn.SWITCH(WEEKDAY($D11, 2), 1, "mandag", 2, "tirsdag", 3, "onsdag", 4, "torsdag", 5, "fredag", 6, "lørdag", 7, "søndag")</f>
        <v>onsdag</v>
      </c>
      <c r="D11">
        <f t="shared" si="0"/>
        <v>4</v>
      </c>
      <c r="E11" s="42">
        <f t="shared" si="2"/>
        <v>45448</v>
      </c>
      <c r="F11" s="15" t="s">
        <v>21</v>
      </c>
      <c r="G11" s="17" cm="1">
        <f t="array" ref="G11">IFERROR(IF(OR(AND(Masterdata!$B$4&lt;&gt;DATE(1900,1,0), Masterdata!$B$4&lt;$E11), AND(Masterdata!$B$3&lt;&gt;DATE(1900,1,0), Masterdata!$B$3&gt;$E11)), IF($H11&gt;TIME(0,0,0), "tast i næste felt", 0), IF($H11&gt;TIME(0,0,0), "Tast i næste felt", IF($H11&gt;0, 0, _xlfn.IFS($C11="lørdag", 0, $C11="søndag", 0, $F11="N", $V$8)))), "Tast i næste felt")</f>
        <v>0.30833333333333335</v>
      </c>
      <c r="H11" s="17">
        <v>0</v>
      </c>
      <c r="I11" s="16">
        <v>0</v>
      </c>
      <c r="J11" s="16">
        <v>0</v>
      </c>
      <c r="K11" s="50" t="str">
        <f>IF(OR(AND(Masterdata!$B$4&lt;&gt;DATE(1900,1,0),Masterdata!$B$4&lt;$E11),AND(Masterdata!$B$3&lt;&gt;DATE(1900,1,0),Masterdata!$B$3&gt;$E11)), "0:00", IF($H11&gt;TIME(0,0,0), IF($H11-$V$8&gt;=0, TEXT($H11-$V$8, "[t]:mm"), "-"&amp;TEXT(ABS($H11-$V$8), "[t]:mm")), IFERROR(IF($G11-$V$8=0, IF($G11-$V$8&gt;=0, TEXT($G11-$V$8, "[t]:mm"), "-"&amp;TEXT(ABS($G11-$V$8), "[t]:mm")), IF($J11-$I11&gt;=0, TEXT($J11-$I11, "[t]:mm"), "-"&amp;TEXT(ABS($J11-$I11), "[t]:mm"))), IF($J11-$I11-$V$8&gt;=0, TEXT($J11-$I11-$V$8, "[t]:mm"), "-"&amp;TEXT(ABS($J11-$I11-$V$8), "[t]:mm")))))</f>
        <v>0:00</v>
      </c>
      <c r="L11" s="54" t="str">
        <f t="shared" si="3"/>
        <v>0</v>
      </c>
      <c r="M11" s="58" t="str">
        <f t="shared" si="4"/>
        <v>0</v>
      </c>
      <c r="N11" s="51" t="str">
        <f t="shared" si="5"/>
        <v>00</v>
      </c>
      <c r="O11" s="57">
        <f t="shared" si="6"/>
        <v>0</v>
      </c>
      <c r="P11" s="6">
        <f t="shared" si="7"/>
        <v>0</v>
      </c>
      <c r="Q11" s="63"/>
      <c r="V11" s="6"/>
    </row>
    <row r="12" spans="1:24" ht="15.75" x14ac:dyDescent="0.25">
      <c r="A12" s="12">
        <f t="shared" si="1"/>
        <v>23</v>
      </c>
      <c r="B12" s="13">
        <f t="shared" si="8"/>
        <v>45449</v>
      </c>
      <c r="C12" s="14" t="str" cm="1">
        <f t="array" ref="C12">_xlfn.SWITCH(WEEKDAY($D12, 2), 1, "mandag", 2, "tirsdag", 3, "onsdag", 4, "torsdag", 5, "fredag", 6, "lørdag", 7, "søndag")</f>
        <v>torsdag</v>
      </c>
      <c r="D12">
        <f t="shared" si="0"/>
        <v>5</v>
      </c>
      <c r="E12" s="42">
        <f t="shared" si="2"/>
        <v>45449</v>
      </c>
      <c r="F12" s="15" t="s">
        <v>21</v>
      </c>
      <c r="G12" s="17" cm="1">
        <f t="array" ref="G12">IFERROR(IF(OR(AND(Masterdata!$B$4&lt;&gt;DATE(1900,1,0), Masterdata!$B$4&lt;$E12), AND(Masterdata!$B$3&lt;&gt;DATE(1900,1,0), Masterdata!$B$3&gt;$E12)), IF($H12&gt;TIME(0,0,0), "tast i næste felt", 0), IF($H12&gt;TIME(0,0,0), "Tast i næste felt", IF($H12&gt;0, 0, _xlfn.IFS($C12="lørdag", 0, $C12="søndag", 0, $F12="N", $V$8)))), "Tast i næste felt")</f>
        <v>0.30833333333333335</v>
      </c>
      <c r="H12" s="17">
        <v>0</v>
      </c>
      <c r="I12" s="16">
        <v>0</v>
      </c>
      <c r="J12" s="16">
        <v>0</v>
      </c>
      <c r="K12" s="50" t="str">
        <f>IF(OR(AND(Masterdata!$B$4&lt;&gt;DATE(1900,1,0),Masterdata!$B$4&lt;$E12),AND(Masterdata!$B$3&lt;&gt;DATE(1900,1,0),Masterdata!$B$3&gt;$E12)), "0:00", IF($H12&gt;TIME(0,0,0), IF($H12-$V$8&gt;=0, TEXT($H12-$V$8, "[t]:mm"), "-"&amp;TEXT(ABS($H12-$V$8), "[t]:mm")), IFERROR(IF($G12-$V$8=0, IF($G12-$V$8&gt;=0, TEXT($G12-$V$8, "[t]:mm"), "-"&amp;TEXT(ABS($G12-$V$8), "[t]:mm")), IF($J12-$I12&gt;=0, TEXT($J12-$I12, "[t]:mm"), "-"&amp;TEXT(ABS($J12-$I12), "[t]:mm"))), IF($J12-$I12-$V$8&gt;=0, TEXT($J12-$I12-$V$8, "[t]:mm"), "-"&amp;TEXT(ABS($J12-$I12-$V$8), "[t]:mm")))))</f>
        <v>0:00</v>
      </c>
      <c r="L12" s="54" t="str">
        <f t="shared" si="3"/>
        <v>0</v>
      </c>
      <c r="M12" s="58" t="str">
        <f t="shared" si="4"/>
        <v>0</v>
      </c>
      <c r="N12" s="51" t="str">
        <f t="shared" si="5"/>
        <v>00</v>
      </c>
      <c r="O12" s="57">
        <f t="shared" si="6"/>
        <v>0</v>
      </c>
      <c r="P12" s="6">
        <f t="shared" si="7"/>
        <v>0</v>
      </c>
      <c r="Q12" s="63"/>
      <c r="V12" s="38"/>
    </row>
    <row r="13" spans="1:24" ht="15.75" x14ac:dyDescent="0.25">
      <c r="A13" s="12">
        <f t="shared" si="1"/>
        <v>23</v>
      </c>
      <c r="B13" s="13">
        <f t="shared" si="8"/>
        <v>45450</v>
      </c>
      <c r="C13" s="14" t="str" cm="1">
        <f t="array" ref="C13">_xlfn.SWITCH(WEEKDAY($D13, 2), 1, "mandag", 2, "tirsdag", 3, "onsdag", 4, "torsdag", 5, "fredag", 6, "lørdag", 7, "søndag")</f>
        <v>fredag</v>
      </c>
      <c r="D13">
        <f t="shared" si="0"/>
        <v>6</v>
      </c>
      <c r="E13" s="42">
        <f t="shared" si="2"/>
        <v>45450</v>
      </c>
      <c r="F13" s="15" t="s">
        <v>21</v>
      </c>
      <c r="G13" s="17" cm="1">
        <f t="array" ref="G13">IFERROR(IF(OR(AND(Masterdata!$B$4&lt;&gt;DATE(1900,1,0), Masterdata!$B$4&lt;$E13), AND(Masterdata!$B$3&lt;&gt;DATE(1900,1,0), Masterdata!$B$3&gt;$E13)), IF($H13&gt;TIME(0,0,0), "tast i næste felt", 0), IF($H13&gt;TIME(0,0,0), "Tast i næste felt", IF($H13&gt;0, 0, _xlfn.IFS($C13="lørdag", 0, $C13="søndag", 0, $F13="N", $V$8)))), "Tast i næste felt")</f>
        <v>0.30833333333333335</v>
      </c>
      <c r="H13" s="17">
        <v>0</v>
      </c>
      <c r="I13" s="16">
        <v>0</v>
      </c>
      <c r="J13" s="16">
        <v>0</v>
      </c>
      <c r="K13" s="50" t="str">
        <f>IF(OR(AND(Masterdata!$B$4&lt;&gt;DATE(1900,1,0),Masterdata!$B$4&lt;$E13),AND(Masterdata!$B$3&lt;&gt;DATE(1900,1,0),Masterdata!$B$3&gt;$E13)), "0:00", IF($H13&gt;TIME(0,0,0), IF($H13-$V$8&gt;=0, TEXT($H13-$V$8, "[t]:mm"), "-"&amp;TEXT(ABS($H13-$V$8), "[t]:mm")), IFERROR(IF($G13-$V$8=0, IF($G13-$V$8&gt;=0, TEXT($G13-$V$8, "[t]:mm"), "-"&amp;TEXT(ABS($G13-$V$8), "[t]:mm")), IF($J13-$I13&gt;=0, TEXT($J13-$I13, "[t]:mm"), "-"&amp;TEXT(ABS($J13-$I13), "[t]:mm"))), IF($J13-$I13-$V$8&gt;=0, TEXT($J13-$I13-$V$8, "[t]:mm"), "-"&amp;TEXT(ABS($J13-$I13-$V$8), "[t]:mm")))))</f>
        <v>0:00</v>
      </c>
      <c r="L13" s="54" t="str">
        <f t="shared" si="3"/>
        <v>0</v>
      </c>
      <c r="M13" s="58" t="str">
        <f t="shared" si="4"/>
        <v>0</v>
      </c>
      <c r="N13" s="51" t="str">
        <f t="shared" si="5"/>
        <v>00</v>
      </c>
      <c r="O13" s="57">
        <f t="shared" si="6"/>
        <v>0</v>
      </c>
      <c r="P13" s="6">
        <f t="shared" si="7"/>
        <v>0</v>
      </c>
      <c r="Q13" s="63"/>
    </row>
    <row r="14" spans="1:24" ht="15.75" x14ac:dyDescent="0.25">
      <c r="A14" s="12">
        <f t="shared" si="1"/>
        <v>23</v>
      </c>
      <c r="B14" s="13">
        <f t="shared" si="8"/>
        <v>45451</v>
      </c>
      <c r="C14" s="14" t="str" cm="1">
        <f t="array" ref="C14">_xlfn.SWITCH(WEEKDAY($D14, 2), 1, "mandag", 2, "tirsdag", 3, "onsdag", 4, "torsdag", 5, "fredag", 6, "lørdag", 7, "søndag")</f>
        <v>lørdag</v>
      </c>
      <c r="D14">
        <f t="shared" si="0"/>
        <v>7</v>
      </c>
      <c r="E14" s="42">
        <f t="shared" si="2"/>
        <v>45451</v>
      </c>
      <c r="F14" s="15" t="s">
        <v>21</v>
      </c>
      <c r="G14" s="17" cm="1">
        <f t="array" ref="G14">IFERROR(IF(OR(AND(Masterdata!$B$4&lt;&gt;DATE(1900,1,0), Masterdata!$B$4&lt;$E14), AND(Masterdata!$B$3&lt;&gt;DATE(1900,1,0), Masterdata!$B$3&gt;$E14)), IF($H14&gt;TIME(0,0,0), "tast i næste felt", 0), IF($H14&gt;TIME(0,0,0), "Tast i næste felt", IF($H14&gt;0, 0, _xlfn.IFS($C14="lørdag", 0, $C14="søndag", 0, $F14="N", $V$8)))), "Tast i næste felt")</f>
        <v>0</v>
      </c>
      <c r="H14" s="17">
        <v>0</v>
      </c>
      <c r="I14" s="16">
        <v>0</v>
      </c>
      <c r="J14" s="16">
        <v>0</v>
      </c>
      <c r="K14" s="50" t="str">
        <f>IF(OR(AND(Masterdata!$B$4&lt;&gt;DATE(1900,1,0),Masterdata!$B$4&lt;$E14),AND(Masterdata!$B$3&lt;&gt;DATE(1900,1,0),Masterdata!$B$3&gt;$E14)), "0:00", IF($H14&gt;TIME(0,0,0), IF($H14-$V$8&gt;=0, TEXT($H14-$V$8, "[t]:mm"), "-"&amp;TEXT(ABS($H14-$V$8), "[t]:mm")), IFERROR(IF($G14-$V$8=0, IF($G14-$V$8&gt;=0, TEXT($G14-$V$8, "[t]:mm"), "-"&amp;TEXT(ABS($G14-$V$8), "[t]:mm")), IF($J14-$I14&gt;=0, TEXT($J14-$I14, "[t]:mm"), "-"&amp;TEXT(ABS($J14-$I14), "[t]:mm"))), IF($J14-$I14-$V$8&gt;=0, TEXT($J14-$I14-$V$8, "[t]:mm"), "-"&amp;TEXT(ABS($J14-$I14-$V$8), "[t]:mm")))))</f>
        <v>0:00</v>
      </c>
      <c r="L14" s="54" t="str">
        <f t="shared" si="3"/>
        <v>0</v>
      </c>
      <c r="M14" s="58" t="str">
        <f t="shared" si="4"/>
        <v>0</v>
      </c>
      <c r="N14" s="51" t="str">
        <f t="shared" si="5"/>
        <v>00</v>
      </c>
      <c r="O14" s="57">
        <f t="shared" si="6"/>
        <v>0</v>
      </c>
      <c r="P14" s="6">
        <f t="shared" si="7"/>
        <v>0</v>
      </c>
      <c r="Q14" s="63"/>
      <c r="S14" t="s">
        <v>46</v>
      </c>
      <c r="T14" t="s">
        <v>47</v>
      </c>
      <c r="U14" t="s">
        <v>48</v>
      </c>
      <c r="V14" s="6">
        <f>V9-V12</f>
        <v>160.33000000000001</v>
      </c>
    </row>
    <row r="15" spans="1:24" ht="15.75" x14ac:dyDescent="0.25">
      <c r="A15" s="12">
        <f t="shared" si="1"/>
        <v>23</v>
      </c>
      <c r="B15" s="13">
        <f t="shared" si="8"/>
        <v>45452</v>
      </c>
      <c r="C15" s="14" t="str" cm="1">
        <f t="array" ref="C15">_xlfn.SWITCH(WEEKDAY($D15, 2), 1, "mandag", 2, "tirsdag", 3, "onsdag", 4, "torsdag", 5, "fredag", 6, "lørdag", 7, "søndag")</f>
        <v>søndag</v>
      </c>
      <c r="D15">
        <f t="shared" si="0"/>
        <v>8</v>
      </c>
      <c r="E15" s="42">
        <f t="shared" si="2"/>
        <v>45452</v>
      </c>
      <c r="F15" s="15" t="s">
        <v>21</v>
      </c>
      <c r="G15" s="17" cm="1">
        <f t="array" ref="G15">IFERROR(IF(OR(AND(Masterdata!$B$4&lt;&gt;DATE(1900,1,0), Masterdata!$B$4&lt;$E15), AND(Masterdata!$B$3&lt;&gt;DATE(1900,1,0), Masterdata!$B$3&gt;$E15)), IF($H15&gt;TIME(0,0,0), "tast i næste felt", 0), IF($H15&gt;TIME(0,0,0), "Tast i næste felt", IF($H15&gt;0, 0, _xlfn.IFS($C15="lørdag", 0, $C15="søndag", 0, $F15="N", $V$8)))), "Tast i næste felt")</f>
        <v>0</v>
      </c>
      <c r="H15" s="17">
        <v>0</v>
      </c>
      <c r="I15" s="16">
        <v>0</v>
      </c>
      <c r="J15" s="16">
        <v>0</v>
      </c>
      <c r="K15" s="50" t="str">
        <f>IF(OR(AND(Masterdata!$B$4&lt;&gt;DATE(1900,1,0),Masterdata!$B$4&lt;$E15),AND(Masterdata!$B$3&lt;&gt;DATE(1900,1,0),Masterdata!$B$3&gt;$E15)), "0:00", IF($H15&gt;TIME(0,0,0), IF($H15-$V$8&gt;=0, TEXT($H15-$V$8, "[t]:mm"), "-"&amp;TEXT(ABS($H15-$V$8), "[t]:mm")), IFERROR(IF($G15-$V$8=0, IF($G15-$V$8&gt;=0, TEXT($G15-$V$8, "[t]:mm"), "-"&amp;TEXT(ABS($G15-$V$8), "[t]:mm")), IF($J15-$I15&gt;=0, TEXT($J15-$I15, "[t]:mm"), "-"&amp;TEXT(ABS($J15-$I15), "[t]:mm"))), IF($J15-$I15-$V$8&gt;=0, TEXT($J15-$I15-$V$8, "[t]:mm"), "-"&amp;TEXT(ABS($J15-$I15-$V$8), "[t]:mm")))))</f>
        <v>0:00</v>
      </c>
      <c r="L15" s="54" t="str">
        <f t="shared" si="3"/>
        <v>0</v>
      </c>
      <c r="M15" s="58" t="str">
        <f t="shared" si="4"/>
        <v>0</v>
      </c>
      <c r="N15" s="51" t="str">
        <f t="shared" si="5"/>
        <v>00</v>
      </c>
      <c r="O15" s="57">
        <f t="shared" si="6"/>
        <v>0</v>
      </c>
      <c r="P15" s="6">
        <f t="shared" si="7"/>
        <v>0</v>
      </c>
      <c r="Q15" s="63"/>
      <c r="S15" t="s">
        <v>49</v>
      </c>
      <c r="T15" t="s">
        <v>50</v>
      </c>
      <c r="U15" t="s">
        <v>51</v>
      </c>
      <c r="V15" s="6" t="e">
        <f>SUM(#REF!)</f>
        <v>#REF!</v>
      </c>
    </row>
    <row r="16" spans="1:24" ht="15.75" x14ac:dyDescent="0.25">
      <c r="A16" s="12">
        <f t="shared" si="1"/>
        <v>24</v>
      </c>
      <c r="B16" s="13">
        <f t="shared" si="8"/>
        <v>45453</v>
      </c>
      <c r="C16" s="14" t="str" cm="1">
        <f t="array" ref="C16">_xlfn.SWITCH(WEEKDAY($D16, 2), 1, "mandag", 2, "tirsdag", 3, "onsdag", 4, "torsdag", 5, "fredag", 6, "lørdag", 7, "søndag")</f>
        <v>mandag</v>
      </c>
      <c r="D16">
        <f t="shared" si="0"/>
        <v>2</v>
      </c>
      <c r="E16" s="42">
        <f t="shared" si="2"/>
        <v>45453</v>
      </c>
      <c r="F16" s="15" t="s">
        <v>21</v>
      </c>
      <c r="G16" s="17" cm="1">
        <f t="array" ref="G16">IFERROR(IF(OR(AND(Masterdata!$B$4&lt;&gt;DATE(1900,1,0), Masterdata!$B$4&lt;$E16), AND(Masterdata!$B$3&lt;&gt;DATE(1900,1,0), Masterdata!$B$3&gt;$E16)), IF($H16&gt;TIME(0,0,0), "tast i næste felt", 0), IF($H16&gt;TIME(0,0,0), "Tast i næste felt", IF($H16&gt;0, 0, _xlfn.IFS($C16="lørdag", 0, $C16="søndag", 0, $F16="N", $V$8)))), "Tast i næste felt")</f>
        <v>0.30833333333333335</v>
      </c>
      <c r="H16" s="17">
        <v>0</v>
      </c>
      <c r="I16" s="16">
        <v>0</v>
      </c>
      <c r="J16" s="16">
        <v>0</v>
      </c>
      <c r="K16" s="50" t="str">
        <f>IF(OR(AND(Masterdata!$B$4&lt;&gt;DATE(1900,1,0),Masterdata!$B$4&lt;$E16),AND(Masterdata!$B$3&lt;&gt;DATE(1900,1,0),Masterdata!$B$3&gt;$E16)), "0:00", IF($H16&gt;TIME(0,0,0), IF($H16-$V$8&gt;=0, TEXT($H16-$V$8, "[t]:mm"), "-"&amp;TEXT(ABS($H16-$V$8), "[t]:mm")), IFERROR(IF($G16-$V$8=0, IF($G16-$V$8&gt;=0, TEXT($G16-$V$8, "[t]:mm"), "-"&amp;TEXT(ABS($G16-$V$8), "[t]:mm")), IF($J16-$I16&gt;=0, TEXT($J16-$I16, "[t]:mm"), "-"&amp;TEXT(ABS($J16-$I16), "[t]:mm"))), IF($J16-$I16-$V$8&gt;=0, TEXT($J16-$I16-$V$8, "[t]:mm"), "-"&amp;TEXT(ABS($J16-$I16-$V$8), "[t]:mm")))))</f>
        <v>0:00</v>
      </c>
      <c r="L16" s="54" t="str">
        <f t="shared" si="3"/>
        <v>0</v>
      </c>
      <c r="M16" s="58" t="str">
        <f t="shared" si="4"/>
        <v>0</v>
      </c>
      <c r="N16" s="51" t="str">
        <f t="shared" si="5"/>
        <v>00</v>
      </c>
      <c r="O16" s="57">
        <f t="shared" si="6"/>
        <v>0</v>
      </c>
      <c r="P16" s="6">
        <f t="shared" si="7"/>
        <v>0</v>
      </c>
      <c r="Q16" s="63"/>
      <c r="S16" t="s">
        <v>23</v>
      </c>
      <c r="T16" t="s">
        <v>52</v>
      </c>
      <c r="U16" t="s">
        <v>53</v>
      </c>
      <c r="V16" s="6" t="e">
        <f>V14-V15</f>
        <v>#REF!</v>
      </c>
    </row>
    <row r="17" spans="1:21" ht="15.75" x14ac:dyDescent="0.25">
      <c r="A17" s="12">
        <f t="shared" si="1"/>
        <v>24</v>
      </c>
      <c r="B17" s="13">
        <f t="shared" si="8"/>
        <v>45454</v>
      </c>
      <c r="C17" s="14" t="str" cm="1">
        <f t="array" ref="C17">_xlfn.SWITCH(WEEKDAY($D17, 2), 1, "mandag", 2, "tirsdag", 3, "onsdag", 4, "torsdag", 5, "fredag", 6, "lørdag", 7, "søndag")</f>
        <v>tirsdag</v>
      </c>
      <c r="D17">
        <f t="shared" si="0"/>
        <v>3</v>
      </c>
      <c r="E17" s="42">
        <f t="shared" si="2"/>
        <v>45454</v>
      </c>
      <c r="F17" s="15" t="s">
        <v>21</v>
      </c>
      <c r="G17" s="17" cm="1">
        <f t="array" ref="G17">IFERROR(IF(OR(AND(Masterdata!$B$4&lt;&gt;DATE(1900,1,0), Masterdata!$B$4&lt;$E17), AND(Masterdata!$B$3&lt;&gt;DATE(1900,1,0), Masterdata!$B$3&gt;$E17)), IF($H17&gt;TIME(0,0,0), "tast i næste felt", 0), IF($H17&gt;TIME(0,0,0), "Tast i næste felt", IF($H17&gt;0, 0, _xlfn.IFS($C17="lørdag", 0, $C17="søndag", 0, $F17="N", $V$8)))), "Tast i næste felt")</f>
        <v>0.30833333333333335</v>
      </c>
      <c r="H17" s="17">
        <v>0</v>
      </c>
      <c r="I17" s="16">
        <v>0</v>
      </c>
      <c r="J17" s="16">
        <v>0</v>
      </c>
      <c r="K17" s="50" t="str">
        <f>IF(OR(AND(Masterdata!$B$4&lt;&gt;DATE(1900,1,0),Masterdata!$B$4&lt;$E17),AND(Masterdata!$B$3&lt;&gt;DATE(1900,1,0),Masterdata!$B$3&gt;$E17)), "0:00", IF($H17&gt;TIME(0,0,0), IF($H17-$V$8&gt;=0, TEXT($H17-$V$8, "[t]:mm"), "-"&amp;TEXT(ABS($H17-$V$8), "[t]:mm")), IFERROR(IF($G17-$V$8=0, IF($G17-$V$8&gt;=0, TEXT($G17-$V$8, "[t]:mm"), "-"&amp;TEXT(ABS($G17-$V$8), "[t]:mm")), IF($J17-$I17&gt;=0, TEXT($J17-$I17, "[t]:mm"), "-"&amp;TEXT(ABS($J17-$I17), "[t]:mm"))), IF($J17-$I17-$V$8&gt;=0, TEXT($J17-$I17-$V$8, "[t]:mm"), "-"&amp;TEXT(ABS($J17-$I17-$V$8), "[t]:mm")))))</f>
        <v>0:00</v>
      </c>
      <c r="L17" s="54" t="str">
        <f t="shared" si="3"/>
        <v>0</v>
      </c>
      <c r="M17" s="58" t="str">
        <f t="shared" si="4"/>
        <v>0</v>
      </c>
      <c r="N17" s="51" t="str">
        <f t="shared" si="5"/>
        <v>00</v>
      </c>
      <c r="O17" s="57">
        <f t="shared" si="6"/>
        <v>0</v>
      </c>
      <c r="P17" s="6">
        <f t="shared" si="7"/>
        <v>0</v>
      </c>
      <c r="Q17" s="63"/>
      <c r="U17" s="42"/>
    </row>
    <row r="18" spans="1:21" ht="15.75" x14ac:dyDescent="0.25">
      <c r="A18" s="12">
        <f t="shared" si="1"/>
        <v>24</v>
      </c>
      <c r="B18" s="13">
        <f t="shared" si="8"/>
        <v>45455</v>
      </c>
      <c r="C18" s="14" t="str" cm="1">
        <f t="array" ref="C18">_xlfn.SWITCH(WEEKDAY($D18, 2), 1, "mandag", 2, "tirsdag", 3, "onsdag", 4, "torsdag", 5, "fredag", 6, "lørdag", 7, "søndag")</f>
        <v>onsdag</v>
      </c>
      <c r="D18">
        <f t="shared" si="0"/>
        <v>4</v>
      </c>
      <c r="E18" s="42">
        <f t="shared" si="2"/>
        <v>45455</v>
      </c>
      <c r="F18" s="15" t="s">
        <v>21</v>
      </c>
      <c r="G18" s="17" cm="1">
        <f t="array" ref="G18">IFERROR(IF(OR(AND(Masterdata!$B$4&lt;&gt;DATE(1900,1,0), Masterdata!$B$4&lt;$E18), AND(Masterdata!$B$3&lt;&gt;DATE(1900,1,0), Masterdata!$B$3&gt;$E18)), IF($H18&gt;TIME(0,0,0), "tast i næste felt", 0), IF($H18&gt;TIME(0,0,0), "Tast i næste felt", IF($H18&gt;0, 0, _xlfn.IFS($C18="lørdag", 0, $C18="søndag", 0, $F18="N", $V$8)))), "Tast i næste felt")</f>
        <v>0.30833333333333335</v>
      </c>
      <c r="H18" s="17">
        <v>0</v>
      </c>
      <c r="I18" s="16">
        <v>0</v>
      </c>
      <c r="J18" s="16">
        <v>0</v>
      </c>
      <c r="K18" s="50" t="str">
        <f>IF(OR(AND(Masterdata!$B$4&lt;&gt;DATE(1900,1,0),Masterdata!$B$4&lt;$E18),AND(Masterdata!$B$3&lt;&gt;DATE(1900,1,0),Masterdata!$B$3&gt;$E18)), "0:00", IF($H18&gt;TIME(0,0,0), IF($H18-$V$8&gt;=0, TEXT($H18-$V$8, "[t]:mm"), "-"&amp;TEXT(ABS($H18-$V$8), "[t]:mm")), IFERROR(IF($G18-$V$8=0, IF($G18-$V$8&gt;=0, TEXT($G18-$V$8, "[t]:mm"), "-"&amp;TEXT(ABS($G18-$V$8), "[t]:mm")), IF($J18-$I18&gt;=0, TEXT($J18-$I18, "[t]:mm"), "-"&amp;TEXT(ABS($J18-$I18), "[t]:mm"))), IF($J18-$I18-$V$8&gt;=0, TEXT($J18-$I18-$V$8, "[t]:mm"), "-"&amp;TEXT(ABS($J18-$I18-$V$8), "[t]:mm")))))</f>
        <v>0:00</v>
      </c>
      <c r="L18" s="54" t="str">
        <f t="shared" si="3"/>
        <v>0</v>
      </c>
      <c r="M18" s="58" t="str">
        <f t="shared" si="4"/>
        <v>0</v>
      </c>
      <c r="N18" s="51" t="str">
        <f t="shared" si="5"/>
        <v>00</v>
      </c>
      <c r="O18" s="57">
        <f t="shared" si="6"/>
        <v>0</v>
      </c>
      <c r="P18" s="6">
        <f t="shared" si="7"/>
        <v>0</v>
      </c>
      <c r="Q18" s="63"/>
      <c r="R18" s="52"/>
    </row>
    <row r="19" spans="1:21" ht="15.75" x14ac:dyDescent="0.25">
      <c r="A19" s="12">
        <f t="shared" si="1"/>
        <v>24</v>
      </c>
      <c r="B19" s="13">
        <f t="shared" si="8"/>
        <v>45456</v>
      </c>
      <c r="C19" s="14" t="str" cm="1">
        <f t="array" ref="C19">_xlfn.SWITCH(WEEKDAY($D19, 2), 1, "mandag", 2, "tirsdag", 3, "onsdag", 4, "torsdag", 5, "fredag", 6, "lørdag", 7, "søndag")</f>
        <v>torsdag</v>
      </c>
      <c r="D19">
        <f t="shared" si="0"/>
        <v>5</v>
      </c>
      <c r="E19" s="42">
        <f t="shared" si="2"/>
        <v>45456</v>
      </c>
      <c r="F19" s="15" t="s">
        <v>21</v>
      </c>
      <c r="G19" s="17" cm="1">
        <f t="array" ref="G19">IFERROR(IF(OR(AND(Masterdata!$B$4&lt;&gt;DATE(1900,1,0), Masterdata!$B$4&lt;$E19), AND(Masterdata!$B$3&lt;&gt;DATE(1900,1,0), Masterdata!$B$3&gt;$E19)), IF($H19&gt;TIME(0,0,0), "tast i næste felt", 0), IF($H19&gt;TIME(0,0,0), "Tast i næste felt", IF($H19&gt;0, 0, _xlfn.IFS($C19="lørdag", 0, $C19="søndag", 0, $F19="N", $V$8)))), "Tast i næste felt")</f>
        <v>0.30833333333333335</v>
      </c>
      <c r="H19" s="17">
        <v>0</v>
      </c>
      <c r="I19" s="16">
        <v>0</v>
      </c>
      <c r="J19" s="16">
        <v>0</v>
      </c>
      <c r="K19" s="50" t="str">
        <f>IF(OR(AND(Masterdata!$B$4&lt;&gt;DATE(1900,1,0),Masterdata!$B$4&lt;$E19),AND(Masterdata!$B$3&lt;&gt;DATE(1900,1,0),Masterdata!$B$3&gt;$E19)), "0:00", IF($H19&gt;TIME(0,0,0), IF($H19-$V$8&gt;=0, TEXT($H19-$V$8, "[t]:mm"), "-"&amp;TEXT(ABS($H19-$V$8), "[t]:mm")), IFERROR(IF($G19-$V$8=0, IF($G19-$V$8&gt;=0, TEXT($G19-$V$8, "[t]:mm"), "-"&amp;TEXT(ABS($G19-$V$8), "[t]:mm")), IF($J19-$I19&gt;=0, TEXT($J19-$I19, "[t]:mm"), "-"&amp;TEXT(ABS($J19-$I19), "[t]:mm"))), IF($J19-$I19-$V$8&gt;=0, TEXT($J19-$I19-$V$8, "[t]:mm"), "-"&amp;TEXT(ABS($J19-$I19-$V$8), "[t]:mm")))))</f>
        <v>0:00</v>
      </c>
      <c r="L19" s="54" t="str">
        <f t="shared" si="3"/>
        <v>0</v>
      </c>
      <c r="M19" s="58" t="str">
        <f t="shared" si="4"/>
        <v>0</v>
      </c>
      <c r="N19" s="51" t="str">
        <f t="shared" si="5"/>
        <v>00</v>
      </c>
      <c r="O19" s="57">
        <f t="shared" si="6"/>
        <v>0</v>
      </c>
      <c r="P19" s="6">
        <f t="shared" si="7"/>
        <v>0</v>
      </c>
      <c r="Q19" s="63"/>
    </row>
    <row r="20" spans="1:21" ht="15.75" x14ac:dyDescent="0.25">
      <c r="A20" s="12">
        <f t="shared" si="1"/>
        <v>24</v>
      </c>
      <c r="B20" s="13">
        <f t="shared" si="8"/>
        <v>45457</v>
      </c>
      <c r="C20" s="14" t="str" cm="1">
        <f t="array" ref="C20">_xlfn.SWITCH(WEEKDAY($D20, 2), 1, "mandag", 2, "tirsdag", 3, "onsdag", 4, "torsdag", 5, "fredag", 6, "lørdag", 7, "søndag")</f>
        <v>fredag</v>
      </c>
      <c r="D20">
        <f t="shared" si="0"/>
        <v>6</v>
      </c>
      <c r="E20" s="42">
        <f t="shared" si="2"/>
        <v>45457</v>
      </c>
      <c r="F20" s="15" t="s">
        <v>21</v>
      </c>
      <c r="G20" s="17" cm="1">
        <f t="array" ref="G20">IFERROR(IF(OR(AND(Masterdata!$B$4&lt;&gt;DATE(1900,1,0), Masterdata!$B$4&lt;$E20), AND(Masterdata!$B$3&lt;&gt;DATE(1900,1,0), Masterdata!$B$3&gt;$E20)), IF($H20&gt;TIME(0,0,0), "tast i næste felt", 0), IF($H20&gt;TIME(0,0,0), "Tast i næste felt", IF($H20&gt;0, 0, _xlfn.IFS($C20="lørdag", 0, $C20="søndag", 0, $F20="N", $V$8)))), "Tast i næste felt")</f>
        <v>0.30833333333333335</v>
      </c>
      <c r="H20" s="17">
        <v>0</v>
      </c>
      <c r="I20" s="16">
        <v>0</v>
      </c>
      <c r="J20" s="16">
        <v>0</v>
      </c>
      <c r="K20" s="50" t="str">
        <f>IF(OR(AND(Masterdata!$B$4&lt;&gt;DATE(1900,1,0),Masterdata!$B$4&lt;$E20),AND(Masterdata!$B$3&lt;&gt;DATE(1900,1,0),Masterdata!$B$3&gt;$E20)), "0:00", IF($H20&gt;TIME(0,0,0), IF($H20-$V$8&gt;=0, TEXT($H20-$V$8, "[t]:mm"), "-"&amp;TEXT(ABS($H20-$V$8), "[t]:mm")), IFERROR(IF($G20-$V$8=0, IF($G20-$V$8&gt;=0, TEXT($G20-$V$8, "[t]:mm"), "-"&amp;TEXT(ABS($G20-$V$8), "[t]:mm")), IF($J20-$I20&gt;=0, TEXT($J20-$I20, "[t]:mm"), "-"&amp;TEXT(ABS($J20-$I20), "[t]:mm"))), IF($J20-$I20-$V$8&gt;=0, TEXT($J20-$I20-$V$8, "[t]:mm"), "-"&amp;TEXT(ABS($J20-$I20-$V$8), "[t]:mm")))))</f>
        <v>0:00</v>
      </c>
      <c r="L20" s="54" t="str">
        <f t="shared" si="3"/>
        <v>0</v>
      </c>
      <c r="M20" s="58" t="str">
        <f t="shared" si="4"/>
        <v>0</v>
      </c>
      <c r="N20" s="51" t="str">
        <f t="shared" si="5"/>
        <v>00</v>
      </c>
      <c r="O20" s="57">
        <f t="shared" si="6"/>
        <v>0</v>
      </c>
      <c r="P20" s="6">
        <f t="shared" si="7"/>
        <v>0</v>
      </c>
      <c r="Q20" s="63"/>
    </row>
    <row r="21" spans="1:21" ht="15.75" x14ac:dyDescent="0.25">
      <c r="A21" s="12">
        <f t="shared" si="1"/>
        <v>24</v>
      </c>
      <c r="B21" s="13">
        <f t="shared" si="8"/>
        <v>45458</v>
      </c>
      <c r="C21" s="14" t="str" cm="1">
        <f t="array" ref="C21">_xlfn.SWITCH(WEEKDAY($D21, 2), 1, "mandag", 2, "tirsdag", 3, "onsdag", 4, "torsdag", 5, "fredag", 6, "lørdag", 7, "søndag")</f>
        <v>lørdag</v>
      </c>
      <c r="D21">
        <f t="shared" si="0"/>
        <v>7</v>
      </c>
      <c r="E21" s="42">
        <f t="shared" si="2"/>
        <v>45458</v>
      </c>
      <c r="F21" s="15" t="s">
        <v>21</v>
      </c>
      <c r="G21" s="17" cm="1">
        <f t="array" ref="G21">IFERROR(IF(OR(AND(Masterdata!$B$4&lt;&gt;DATE(1900,1,0), Masterdata!$B$4&lt;$E21), AND(Masterdata!$B$3&lt;&gt;DATE(1900,1,0), Masterdata!$B$3&gt;$E21)), IF($H21&gt;TIME(0,0,0), "tast i næste felt", 0), IF($H21&gt;TIME(0,0,0), "Tast i næste felt", IF($H21&gt;0, 0, _xlfn.IFS($C21="lørdag", 0, $C21="søndag", 0, $F21="N", $V$8)))), "Tast i næste felt")</f>
        <v>0</v>
      </c>
      <c r="H21" s="17">
        <v>0</v>
      </c>
      <c r="I21" s="16">
        <v>0</v>
      </c>
      <c r="J21" s="16">
        <v>0</v>
      </c>
      <c r="K21" s="50" t="str">
        <f>IF(OR(AND(Masterdata!$B$4&lt;&gt;DATE(1900,1,0),Masterdata!$B$4&lt;$E21),AND(Masterdata!$B$3&lt;&gt;DATE(1900,1,0),Masterdata!$B$3&gt;$E21)), "0:00", IF($H21&gt;TIME(0,0,0), IF($H21-$V$8&gt;=0, TEXT($H21-$V$8, "[t]:mm"), "-"&amp;TEXT(ABS($H21-$V$8), "[t]:mm")), IFERROR(IF($G21-$V$8=0, IF($G21-$V$8&gt;=0, TEXT($G21-$V$8, "[t]:mm"), "-"&amp;TEXT(ABS($G21-$V$8), "[t]:mm")), IF($J21-$I21&gt;=0, TEXT($J21-$I21, "[t]:mm"), "-"&amp;TEXT(ABS($J21-$I21), "[t]:mm"))), IF($J21-$I21-$V$8&gt;=0, TEXT($J21-$I21-$V$8, "[t]:mm"), "-"&amp;TEXT(ABS($J21-$I21-$V$8), "[t]:mm")))))</f>
        <v>0:00</v>
      </c>
      <c r="L21" s="54" t="str">
        <f t="shared" si="3"/>
        <v>0</v>
      </c>
      <c r="M21" s="58" t="str">
        <f t="shared" si="4"/>
        <v>0</v>
      </c>
      <c r="N21" s="51" t="str">
        <f t="shared" si="5"/>
        <v>00</v>
      </c>
      <c r="O21" s="57">
        <f t="shared" si="6"/>
        <v>0</v>
      </c>
      <c r="P21" s="6">
        <f t="shared" si="7"/>
        <v>0</v>
      </c>
      <c r="Q21" s="63"/>
    </row>
    <row r="22" spans="1:21" ht="15.75" x14ac:dyDescent="0.25">
      <c r="A22" s="12">
        <f t="shared" si="1"/>
        <v>24</v>
      </c>
      <c r="B22" s="13">
        <f t="shared" si="8"/>
        <v>45459</v>
      </c>
      <c r="C22" s="14" t="str" cm="1">
        <f t="array" ref="C22">_xlfn.SWITCH(WEEKDAY($D22, 2), 1, "mandag", 2, "tirsdag", 3, "onsdag", 4, "torsdag", 5, "fredag", 6, "lørdag", 7, "søndag")</f>
        <v>søndag</v>
      </c>
      <c r="D22">
        <f t="shared" si="0"/>
        <v>8</v>
      </c>
      <c r="E22" s="42">
        <f t="shared" si="2"/>
        <v>45459</v>
      </c>
      <c r="F22" s="15" t="s">
        <v>21</v>
      </c>
      <c r="G22" s="17" cm="1">
        <f t="array" ref="G22">IFERROR(IF(OR(AND(Masterdata!$B$4&lt;&gt;DATE(1900,1,0), Masterdata!$B$4&lt;$E22), AND(Masterdata!$B$3&lt;&gt;DATE(1900,1,0), Masterdata!$B$3&gt;$E22)), IF($H22&gt;TIME(0,0,0), "tast i næste felt", 0), IF($H22&gt;TIME(0,0,0), "Tast i næste felt", IF($H22&gt;0, 0, _xlfn.IFS($C22="lørdag", 0, $C22="søndag", 0, $F22="N", $V$8)))), "Tast i næste felt")</f>
        <v>0</v>
      </c>
      <c r="H22" s="17">
        <v>0</v>
      </c>
      <c r="I22" s="16">
        <v>0</v>
      </c>
      <c r="J22" s="16">
        <v>0</v>
      </c>
      <c r="K22" s="50" t="str">
        <f>IF(OR(AND(Masterdata!$B$4&lt;&gt;DATE(1900,1,0),Masterdata!$B$4&lt;$E22),AND(Masterdata!$B$3&lt;&gt;DATE(1900,1,0),Masterdata!$B$3&gt;$E22)), "0:00", IF($H22&gt;TIME(0,0,0), IF($H22-$V$8&gt;=0, TEXT($H22-$V$8, "[t]:mm"), "-"&amp;TEXT(ABS($H22-$V$8), "[t]:mm")), IFERROR(IF($G22-$V$8=0, IF($G22-$V$8&gt;=0, TEXT($G22-$V$8, "[t]:mm"), "-"&amp;TEXT(ABS($G22-$V$8), "[t]:mm")), IF($J22-$I22&gt;=0, TEXT($J22-$I22, "[t]:mm"), "-"&amp;TEXT(ABS($J22-$I22), "[t]:mm"))), IF($J22-$I22-$V$8&gt;=0, TEXT($J22-$I22-$V$8, "[t]:mm"), "-"&amp;TEXT(ABS($J22-$I22-$V$8), "[t]:mm")))))</f>
        <v>0:00</v>
      </c>
      <c r="L22" s="54" t="str">
        <f t="shared" si="3"/>
        <v>0</v>
      </c>
      <c r="M22" s="58" t="str">
        <f t="shared" si="4"/>
        <v>0</v>
      </c>
      <c r="N22" s="51" t="str">
        <f t="shared" si="5"/>
        <v>00</v>
      </c>
      <c r="O22" s="57">
        <f t="shared" si="6"/>
        <v>0</v>
      </c>
      <c r="P22" s="6">
        <f t="shared" si="7"/>
        <v>0</v>
      </c>
      <c r="Q22" s="63"/>
    </row>
    <row r="23" spans="1:21" ht="15.75" x14ac:dyDescent="0.25">
      <c r="A23" s="12">
        <f t="shared" si="1"/>
        <v>25</v>
      </c>
      <c r="B23" s="13">
        <f t="shared" si="8"/>
        <v>45460</v>
      </c>
      <c r="C23" s="14" t="str" cm="1">
        <f t="array" ref="C23">_xlfn.SWITCH(WEEKDAY($D23, 2), 1, "mandag", 2, "tirsdag", 3, "onsdag", 4, "torsdag", 5, "fredag", 6, "lørdag", 7, "søndag")</f>
        <v>mandag</v>
      </c>
      <c r="D23">
        <f t="shared" si="0"/>
        <v>2</v>
      </c>
      <c r="E23" s="42">
        <f t="shared" si="2"/>
        <v>45460</v>
      </c>
      <c r="F23" s="15" t="s">
        <v>21</v>
      </c>
      <c r="G23" s="17" cm="1">
        <f t="array" ref="G23">IFERROR(IF(OR(AND(Masterdata!$B$4&lt;&gt;DATE(1900,1,0), Masterdata!$B$4&lt;$E23), AND(Masterdata!$B$3&lt;&gt;DATE(1900,1,0), Masterdata!$B$3&gt;$E23)), IF($H23&gt;TIME(0,0,0), "tast i næste felt", 0), IF($H23&gt;TIME(0,0,0), "Tast i næste felt", IF($H23&gt;0, 0, _xlfn.IFS($C23="lørdag", 0, $C23="søndag", 0, $F23="N", $V$8)))), "Tast i næste felt")</f>
        <v>0.30833333333333335</v>
      </c>
      <c r="H23" s="17">
        <v>0</v>
      </c>
      <c r="I23" s="16">
        <v>0</v>
      </c>
      <c r="J23" s="16">
        <v>0</v>
      </c>
      <c r="K23" s="50" t="str">
        <f>IF(OR(AND(Masterdata!$B$4&lt;&gt;DATE(1900,1,0),Masterdata!$B$4&lt;$E23),AND(Masterdata!$B$3&lt;&gt;DATE(1900,1,0),Masterdata!$B$3&gt;$E23)), "0:00", IF($H23&gt;TIME(0,0,0), IF($H23-$V$8&gt;=0, TEXT($H23-$V$8, "[t]:mm"), "-"&amp;TEXT(ABS($H23-$V$8), "[t]:mm")), IFERROR(IF($G23-$V$8=0, IF($G23-$V$8&gt;=0, TEXT($G23-$V$8, "[t]:mm"), "-"&amp;TEXT(ABS($G23-$V$8), "[t]:mm")), IF($J23-$I23&gt;=0, TEXT($J23-$I23, "[t]:mm"), "-"&amp;TEXT(ABS($J23-$I23), "[t]:mm"))), IF($J23-$I23-$V$8&gt;=0, TEXT($J23-$I23-$V$8, "[t]:mm"), "-"&amp;TEXT(ABS($J23-$I23-$V$8), "[t]:mm")))))</f>
        <v>0:00</v>
      </c>
      <c r="L23" s="54" t="str">
        <f t="shared" si="3"/>
        <v>0</v>
      </c>
      <c r="M23" s="58" t="str">
        <f t="shared" si="4"/>
        <v>0</v>
      </c>
      <c r="N23" s="51" t="str">
        <f t="shared" si="5"/>
        <v>00</v>
      </c>
      <c r="O23" s="57">
        <f t="shared" si="6"/>
        <v>0</v>
      </c>
      <c r="P23" s="6">
        <f t="shared" si="7"/>
        <v>0</v>
      </c>
      <c r="Q23" s="63"/>
    </row>
    <row r="24" spans="1:21" ht="15.75" x14ac:dyDescent="0.25">
      <c r="A24" s="12">
        <f t="shared" si="1"/>
        <v>25</v>
      </c>
      <c r="B24" s="13">
        <f t="shared" si="8"/>
        <v>45461</v>
      </c>
      <c r="C24" s="14" t="str" cm="1">
        <f t="array" ref="C24">_xlfn.SWITCH(WEEKDAY($D24, 2), 1, "mandag", 2, "tirsdag", 3, "onsdag", 4, "torsdag", 5, "fredag", 6, "lørdag", 7, "søndag")</f>
        <v>tirsdag</v>
      </c>
      <c r="D24">
        <f t="shared" si="0"/>
        <v>3</v>
      </c>
      <c r="E24" s="42">
        <f t="shared" si="2"/>
        <v>45461</v>
      </c>
      <c r="F24" s="15" t="s">
        <v>21</v>
      </c>
      <c r="G24" s="17" cm="1">
        <f t="array" ref="G24">IFERROR(IF(OR(AND(Masterdata!$B$4&lt;&gt;DATE(1900,1,0), Masterdata!$B$4&lt;$E24), AND(Masterdata!$B$3&lt;&gt;DATE(1900,1,0), Masterdata!$B$3&gt;$E24)), IF($H24&gt;TIME(0,0,0), "tast i næste felt", 0), IF($H24&gt;TIME(0,0,0), "Tast i næste felt", IF($H24&gt;0, 0, _xlfn.IFS($C24="lørdag", 0, $C24="søndag", 0, $F24="N", $V$8)))), "Tast i næste felt")</f>
        <v>0.30833333333333335</v>
      </c>
      <c r="H24" s="17">
        <v>0</v>
      </c>
      <c r="I24" s="16">
        <v>0</v>
      </c>
      <c r="J24" s="16">
        <v>0</v>
      </c>
      <c r="K24" s="50" t="str">
        <f>IF(OR(AND(Masterdata!$B$4&lt;&gt;DATE(1900,1,0),Masterdata!$B$4&lt;$E24),AND(Masterdata!$B$3&lt;&gt;DATE(1900,1,0),Masterdata!$B$3&gt;$E24)), "0:00", IF($H24&gt;TIME(0,0,0), IF($H24-$V$8&gt;=0, TEXT($H24-$V$8, "[t]:mm"), "-"&amp;TEXT(ABS($H24-$V$8), "[t]:mm")), IFERROR(IF($G24-$V$8=0, IF($G24-$V$8&gt;=0, TEXT($G24-$V$8, "[t]:mm"), "-"&amp;TEXT(ABS($G24-$V$8), "[t]:mm")), IF($J24-$I24&gt;=0, TEXT($J24-$I24, "[t]:mm"), "-"&amp;TEXT(ABS($J24-$I24), "[t]:mm"))), IF($J24-$I24-$V$8&gt;=0, TEXT($J24-$I24-$V$8, "[t]:mm"), "-"&amp;TEXT(ABS($J24-$I24-$V$8), "[t]:mm")))))</f>
        <v>0:00</v>
      </c>
      <c r="L24" s="54" t="str">
        <f t="shared" si="3"/>
        <v>0</v>
      </c>
      <c r="M24" s="58" t="str">
        <f t="shared" si="4"/>
        <v>0</v>
      </c>
      <c r="N24" s="51" t="str">
        <f t="shared" si="5"/>
        <v>00</v>
      </c>
      <c r="O24" s="57">
        <f t="shared" si="6"/>
        <v>0</v>
      </c>
      <c r="P24" s="6">
        <f t="shared" si="7"/>
        <v>0</v>
      </c>
      <c r="Q24" s="63"/>
    </row>
    <row r="25" spans="1:21" ht="15.75" x14ac:dyDescent="0.25">
      <c r="A25" s="12">
        <f t="shared" si="1"/>
        <v>25</v>
      </c>
      <c r="B25" s="13">
        <f t="shared" si="8"/>
        <v>45462</v>
      </c>
      <c r="C25" s="14" t="str" cm="1">
        <f t="array" ref="C25">_xlfn.SWITCH(WEEKDAY($D25, 2), 1, "mandag", 2, "tirsdag", 3, "onsdag", 4, "torsdag", 5, "fredag", 6, "lørdag", 7, "søndag")</f>
        <v>onsdag</v>
      </c>
      <c r="D25">
        <f t="shared" si="0"/>
        <v>4</v>
      </c>
      <c r="E25" s="42">
        <f t="shared" si="2"/>
        <v>45462</v>
      </c>
      <c r="F25" s="15" t="s">
        <v>21</v>
      </c>
      <c r="G25" s="17" cm="1">
        <f t="array" ref="G25">IFERROR(IF(OR(AND(Masterdata!$B$4&lt;&gt;DATE(1900,1,0), Masterdata!$B$4&lt;$E25), AND(Masterdata!$B$3&lt;&gt;DATE(1900,1,0), Masterdata!$B$3&gt;$E25)), IF($H25&gt;TIME(0,0,0), "tast i næste felt", 0), IF($H25&gt;TIME(0,0,0), "Tast i næste felt", IF($H25&gt;0, 0, _xlfn.IFS($C25="lørdag", 0, $C25="søndag", 0, $F25="N", $V$8)))), "Tast i næste felt")</f>
        <v>0.30833333333333335</v>
      </c>
      <c r="H25" s="17">
        <v>0</v>
      </c>
      <c r="I25" s="16">
        <v>0</v>
      </c>
      <c r="J25" s="16">
        <v>0</v>
      </c>
      <c r="K25" s="50" t="str">
        <f>IF(OR(AND(Masterdata!$B$4&lt;&gt;DATE(1900,1,0),Masterdata!$B$4&lt;$E25),AND(Masterdata!$B$3&lt;&gt;DATE(1900,1,0),Masterdata!$B$3&gt;$E25)), "0:00", IF($H25&gt;TIME(0,0,0), IF($H25-$V$8&gt;=0, TEXT($H25-$V$8, "[t]:mm"), "-"&amp;TEXT(ABS($H25-$V$8), "[t]:mm")), IFERROR(IF($G25-$V$8=0, IF($G25-$V$8&gt;=0, TEXT($G25-$V$8, "[t]:mm"), "-"&amp;TEXT(ABS($G25-$V$8), "[t]:mm")), IF($J25-$I25&gt;=0, TEXT($J25-$I25, "[t]:mm"), "-"&amp;TEXT(ABS($J25-$I25), "[t]:mm"))), IF($J25-$I25-$V$8&gt;=0, TEXT($J25-$I25-$V$8, "[t]:mm"), "-"&amp;TEXT(ABS($J25-$I25-$V$8), "[t]:mm")))))</f>
        <v>0:00</v>
      </c>
      <c r="L25" s="54" t="str">
        <f t="shared" si="3"/>
        <v>0</v>
      </c>
      <c r="M25" s="58" t="str">
        <f t="shared" si="4"/>
        <v>0</v>
      </c>
      <c r="N25" s="51" t="str">
        <f t="shared" si="5"/>
        <v>00</v>
      </c>
      <c r="O25" s="57">
        <f t="shared" si="6"/>
        <v>0</v>
      </c>
      <c r="P25" s="6">
        <f t="shared" si="7"/>
        <v>0</v>
      </c>
      <c r="Q25" s="63"/>
    </row>
    <row r="26" spans="1:21" ht="15.75" x14ac:dyDescent="0.25">
      <c r="A26" s="12">
        <f t="shared" si="1"/>
        <v>25</v>
      </c>
      <c r="B26" s="13">
        <f t="shared" si="8"/>
        <v>45463</v>
      </c>
      <c r="C26" s="14" t="str" cm="1">
        <f t="array" ref="C26">_xlfn.SWITCH(WEEKDAY($D26, 2), 1, "mandag", 2, "tirsdag", 3, "onsdag", 4, "torsdag", 5, "fredag", 6, "lørdag", 7, "søndag")</f>
        <v>torsdag</v>
      </c>
      <c r="D26">
        <f t="shared" si="0"/>
        <v>5</v>
      </c>
      <c r="E26" s="42">
        <f t="shared" si="2"/>
        <v>45463</v>
      </c>
      <c r="F26" s="15" t="s">
        <v>21</v>
      </c>
      <c r="G26" s="17" cm="1">
        <f t="array" ref="G26">IFERROR(IF(OR(AND(Masterdata!$B$4&lt;&gt;DATE(1900,1,0), Masterdata!$B$4&lt;$E26), AND(Masterdata!$B$3&lt;&gt;DATE(1900,1,0), Masterdata!$B$3&gt;$E26)), IF($H26&gt;TIME(0,0,0), "tast i næste felt", 0), IF($H26&gt;TIME(0,0,0), "Tast i næste felt", IF($H26&gt;0, 0, _xlfn.IFS($C26="lørdag", 0, $C26="søndag", 0, $F26="N", $V$8)))), "Tast i næste felt")</f>
        <v>0.30833333333333335</v>
      </c>
      <c r="H26" s="17">
        <v>0</v>
      </c>
      <c r="I26" s="16">
        <v>0</v>
      </c>
      <c r="J26" s="16">
        <v>0</v>
      </c>
      <c r="K26" s="50" t="str">
        <f>IF(OR(AND(Masterdata!$B$4&lt;&gt;DATE(1900,1,0),Masterdata!$B$4&lt;$E26),AND(Masterdata!$B$3&lt;&gt;DATE(1900,1,0),Masterdata!$B$3&gt;$E26)), "0:00", IF($H26&gt;TIME(0,0,0), IF($H26-$V$8&gt;=0, TEXT($H26-$V$8, "[t]:mm"), "-"&amp;TEXT(ABS($H26-$V$8), "[t]:mm")), IFERROR(IF($G26-$V$8=0, IF($G26-$V$8&gt;=0, TEXT($G26-$V$8, "[t]:mm"), "-"&amp;TEXT(ABS($G26-$V$8), "[t]:mm")), IF($J26-$I26&gt;=0, TEXT($J26-$I26, "[t]:mm"), "-"&amp;TEXT(ABS($J26-$I26), "[t]:mm"))), IF($J26-$I26-$V$8&gt;=0, TEXT($J26-$I26-$V$8, "[t]:mm"), "-"&amp;TEXT(ABS($J26-$I26-$V$8), "[t]:mm")))))</f>
        <v>0:00</v>
      </c>
      <c r="L26" s="54" t="str">
        <f t="shared" si="3"/>
        <v>0</v>
      </c>
      <c r="M26" s="58" t="str">
        <f t="shared" si="4"/>
        <v>0</v>
      </c>
      <c r="N26" s="51" t="str">
        <f t="shared" si="5"/>
        <v>00</v>
      </c>
      <c r="O26" s="57">
        <f t="shared" si="6"/>
        <v>0</v>
      </c>
      <c r="P26" s="6">
        <f t="shared" si="7"/>
        <v>0</v>
      </c>
      <c r="Q26" s="63"/>
    </row>
    <row r="27" spans="1:21" ht="15.75" x14ac:dyDescent="0.25">
      <c r="A27" s="12">
        <f t="shared" si="1"/>
        <v>25</v>
      </c>
      <c r="B27" s="13">
        <f t="shared" si="8"/>
        <v>45464</v>
      </c>
      <c r="C27" s="14" t="str" cm="1">
        <f t="array" ref="C27">_xlfn.SWITCH(WEEKDAY($D27, 2), 1, "mandag", 2, "tirsdag", 3, "onsdag", 4, "torsdag", 5, "fredag", 6, "lørdag", 7, "søndag")</f>
        <v>fredag</v>
      </c>
      <c r="D27">
        <f t="shared" si="0"/>
        <v>6</v>
      </c>
      <c r="E27" s="42">
        <f t="shared" si="2"/>
        <v>45464</v>
      </c>
      <c r="F27" s="15" t="s">
        <v>21</v>
      </c>
      <c r="G27" s="17" cm="1">
        <f t="array" ref="G27">IFERROR(IF(OR(AND(Masterdata!$B$4&lt;&gt;DATE(1900,1,0), Masterdata!$B$4&lt;$E27), AND(Masterdata!$B$3&lt;&gt;DATE(1900,1,0), Masterdata!$B$3&gt;$E27)), IF($H27&gt;TIME(0,0,0), "tast i næste felt", 0), IF($H27&gt;TIME(0,0,0), "Tast i næste felt", IF($H27&gt;0, 0, _xlfn.IFS($C27="lørdag", 0, $C27="søndag", 0, $F27="N", $V$8)))), "Tast i næste felt")</f>
        <v>0.30833333333333335</v>
      </c>
      <c r="H27" s="17">
        <v>0</v>
      </c>
      <c r="I27" s="16">
        <v>0</v>
      </c>
      <c r="J27" s="16">
        <v>0</v>
      </c>
      <c r="K27" s="50" t="str">
        <f>IF(OR(AND(Masterdata!$B$4&lt;&gt;DATE(1900,1,0),Masterdata!$B$4&lt;$E27),AND(Masterdata!$B$3&lt;&gt;DATE(1900,1,0),Masterdata!$B$3&gt;$E27)), "0:00", IF($H27&gt;TIME(0,0,0), IF($H27-$V$8&gt;=0, TEXT($H27-$V$8, "[t]:mm"), "-"&amp;TEXT(ABS($H27-$V$8), "[t]:mm")), IFERROR(IF($G27-$V$8=0, IF($G27-$V$8&gt;=0, TEXT($G27-$V$8, "[t]:mm"), "-"&amp;TEXT(ABS($G27-$V$8), "[t]:mm")), IF($J27-$I27&gt;=0, TEXT($J27-$I27, "[t]:mm"), "-"&amp;TEXT(ABS($J27-$I27), "[t]:mm"))), IF($J27-$I27-$V$8&gt;=0, TEXT($J27-$I27-$V$8, "[t]:mm"), "-"&amp;TEXT(ABS($J27-$I27-$V$8), "[t]:mm")))))</f>
        <v>0:00</v>
      </c>
      <c r="L27" s="54" t="str">
        <f t="shared" si="3"/>
        <v>0</v>
      </c>
      <c r="M27" s="58" t="str">
        <f t="shared" si="4"/>
        <v>0</v>
      </c>
      <c r="N27" s="51" t="str">
        <f t="shared" si="5"/>
        <v>00</v>
      </c>
      <c r="O27" s="57">
        <f t="shared" si="6"/>
        <v>0</v>
      </c>
      <c r="P27" s="6">
        <f t="shared" si="7"/>
        <v>0</v>
      </c>
      <c r="Q27" s="63"/>
    </row>
    <row r="28" spans="1:21" ht="15.75" x14ac:dyDescent="0.25">
      <c r="A28" s="12">
        <f t="shared" si="1"/>
        <v>25</v>
      </c>
      <c r="B28" s="13">
        <f t="shared" si="8"/>
        <v>45465</v>
      </c>
      <c r="C28" s="14" t="str" cm="1">
        <f t="array" ref="C28">_xlfn.SWITCH(WEEKDAY($D28, 2), 1, "mandag", 2, "tirsdag", 3, "onsdag", 4, "torsdag", 5, "fredag", 6, "lørdag", 7, "søndag")</f>
        <v>lørdag</v>
      </c>
      <c r="D28">
        <f t="shared" si="0"/>
        <v>7</v>
      </c>
      <c r="E28" s="42">
        <f t="shared" si="2"/>
        <v>45465</v>
      </c>
      <c r="F28" s="15" t="s">
        <v>21</v>
      </c>
      <c r="G28" s="17" cm="1">
        <f t="array" ref="G28">IFERROR(IF(OR(AND(Masterdata!$B$4&lt;&gt;DATE(1900,1,0), Masterdata!$B$4&lt;$E28), AND(Masterdata!$B$3&lt;&gt;DATE(1900,1,0), Masterdata!$B$3&gt;$E28)), IF($H28&gt;TIME(0,0,0), "tast i næste felt", 0), IF($H28&gt;TIME(0,0,0), "Tast i næste felt", IF($H28&gt;0, 0, _xlfn.IFS($C28="lørdag", 0, $C28="søndag", 0, $F28="N", $V$8)))), "Tast i næste felt")</f>
        <v>0</v>
      </c>
      <c r="H28" s="17">
        <v>0</v>
      </c>
      <c r="I28" s="16">
        <v>0</v>
      </c>
      <c r="J28" s="16">
        <v>0</v>
      </c>
      <c r="K28" s="50" t="str">
        <f>IF(OR(AND(Masterdata!$B$4&lt;&gt;DATE(1900,1,0),Masterdata!$B$4&lt;$E28),AND(Masterdata!$B$3&lt;&gt;DATE(1900,1,0),Masterdata!$B$3&gt;$E28)), "0:00", IF($H28&gt;TIME(0,0,0), IF($H28-$V$8&gt;=0, TEXT($H28-$V$8, "[t]:mm"), "-"&amp;TEXT(ABS($H28-$V$8), "[t]:mm")), IFERROR(IF($G28-$V$8=0, IF($G28-$V$8&gt;=0, TEXT($G28-$V$8, "[t]:mm"), "-"&amp;TEXT(ABS($G28-$V$8), "[t]:mm")), IF($J28-$I28&gt;=0, TEXT($J28-$I28, "[t]:mm"), "-"&amp;TEXT(ABS($J28-$I28), "[t]:mm"))), IF($J28-$I28-$V$8&gt;=0, TEXT($J28-$I28-$V$8, "[t]:mm"), "-"&amp;TEXT(ABS($J28-$I28-$V$8), "[t]:mm")))))</f>
        <v>0:00</v>
      </c>
      <c r="L28" s="54" t="str">
        <f t="shared" si="3"/>
        <v>0</v>
      </c>
      <c r="M28" s="58" t="str">
        <f t="shared" si="4"/>
        <v>0</v>
      </c>
      <c r="N28" s="51" t="str">
        <f t="shared" si="5"/>
        <v>00</v>
      </c>
      <c r="O28" s="57">
        <f t="shared" si="6"/>
        <v>0</v>
      </c>
      <c r="P28" s="6">
        <f t="shared" si="7"/>
        <v>0</v>
      </c>
      <c r="Q28" s="63"/>
    </row>
    <row r="29" spans="1:21" ht="15.75" x14ac:dyDescent="0.25">
      <c r="A29" s="12">
        <f t="shared" si="1"/>
        <v>25</v>
      </c>
      <c r="B29" s="13">
        <f t="shared" si="8"/>
        <v>45466</v>
      </c>
      <c r="C29" s="14" t="str" cm="1">
        <f t="array" ref="C29">_xlfn.SWITCH(WEEKDAY($D29, 2), 1, "mandag", 2, "tirsdag", 3, "onsdag", 4, "torsdag", 5, "fredag", 6, "lørdag", 7, "søndag")</f>
        <v>søndag</v>
      </c>
      <c r="D29">
        <f t="shared" si="0"/>
        <v>8</v>
      </c>
      <c r="E29" s="42">
        <f t="shared" si="2"/>
        <v>45466</v>
      </c>
      <c r="F29" s="15" t="s">
        <v>21</v>
      </c>
      <c r="G29" s="17" cm="1">
        <f t="array" ref="G29">IFERROR(IF(OR(AND(Masterdata!$B$4&lt;&gt;DATE(1900,1,0), Masterdata!$B$4&lt;$E29), AND(Masterdata!$B$3&lt;&gt;DATE(1900,1,0), Masterdata!$B$3&gt;$E29)), IF($H29&gt;TIME(0,0,0), "tast i næste felt", 0), IF($H29&gt;TIME(0,0,0), "Tast i næste felt", IF($H29&gt;0, 0, _xlfn.IFS($C29="lørdag", 0, $C29="søndag", 0, $F29="N", $V$8)))), "Tast i næste felt")</f>
        <v>0</v>
      </c>
      <c r="H29" s="17">
        <v>0</v>
      </c>
      <c r="I29" s="16">
        <v>0</v>
      </c>
      <c r="J29" s="16">
        <v>0</v>
      </c>
      <c r="K29" s="50" t="str">
        <f>IF(OR(AND(Masterdata!$B$4&lt;&gt;DATE(1900,1,0),Masterdata!$B$4&lt;$E29),AND(Masterdata!$B$3&lt;&gt;DATE(1900,1,0),Masterdata!$B$3&gt;$E29)), "0:00", IF($H29&gt;TIME(0,0,0), IF($H29-$V$8&gt;=0, TEXT($H29-$V$8, "[t]:mm"), "-"&amp;TEXT(ABS($H29-$V$8), "[t]:mm")), IFERROR(IF($G29-$V$8=0, IF($G29-$V$8&gt;=0, TEXT($G29-$V$8, "[t]:mm"), "-"&amp;TEXT(ABS($G29-$V$8), "[t]:mm")), IF($J29-$I29&gt;=0, TEXT($J29-$I29, "[t]:mm"), "-"&amp;TEXT(ABS($J29-$I29), "[t]:mm"))), IF($J29-$I29-$V$8&gt;=0, TEXT($J29-$I29-$V$8, "[t]:mm"), "-"&amp;TEXT(ABS($J29-$I29-$V$8), "[t]:mm")))))</f>
        <v>0:00</v>
      </c>
      <c r="L29" s="54" t="str">
        <f t="shared" si="3"/>
        <v>0</v>
      </c>
      <c r="M29" s="58" t="str">
        <f t="shared" si="4"/>
        <v>0</v>
      </c>
      <c r="N29" s="51" t="str">
        <f t="shared" si="5"/>
        <v>00</v>
      </c>
      <c r="O29" s="57">
        <f t="shared" si="6"/>
        <v>0</v>
      </c>
      <c r="P29" s="6">
        <f t="shared" si="7"/>
        <v>0</v>
      </c>
      <c r="Q29" s="63"/>
    </row>
    <row r="30" spans="1:21" ht="15.75" x14ac:dyDescent="0.25">
      <c r="A30" s="12">
        <f t="shared" si="1"/>
        <v>26</v>
      </c>
      <c r="B30" s="13">
        <f t="shared" si="8"/>
        <v>45467</v>
      </c>
      <c r="C30" s="14" t="str" cm="1">
        <f t="array" ref="C30">_xlfn.SWITCH(WEEKDAY($D30, 2), 1, "mandag", 2, "tirsdag", 3, "onsdag", 4, "torsdag", 5, "fredag", 6, "lørdag", 7, "søndag")</f>
        <v>mandag</v>
      </c>
      <c r="D30">
        <f t="shared" si="0"/>
        <v>2</v>
      </c>
      <c r="E30" s="42">
        <f t="shared" si="2"/>
        <v>45467</v>
      </c>
      <c r="F30" s="15" t="s">
        <v>21</v>
      </c>
      <c r="G30" s="17" cm="1">
        <f t="array" ref="G30">IFERROR(IF(OR(AND(Masterdata!$B$4&lt;&gt;DATE(1900,1,0), Masterdata!$B$4&lt;$E30), AND(Masterdata!$B$3&lt;&gt;DATE(1900,1,0), Masterdata!$B$3&gt;$E30)), IF($H30&gt;TIME(0,0,0), "tast i næste felt", 0), IF($H30&gt;TIME(0,0,0), "Tast i næste felt", IF($H30&gt;0, 0, _xlfn.IFS($C30="lørdag", 0, $C30="søndag", 0, $F30="N", $V$8)))), "Tast i næste felt")</f>
        <v>0.30833333333333335</v>
      </c>
      <c r="H30" s="17">
        <v>0</v>
      </c>
      <c r="I30" s="16">
        <v>0</v>
      </c>
      <c r="J30" s="16">
        <v>0</v>
      </c>
      <c r="K30" s="50" t="str">
        <f>IF(OR(AND(Masterdata!$B$4&lt;&gt;DATE(1900,1,0),Masterdata!$B$4&lt;$E30),AND(Masterdata!$B$3&lt;&gt;DATE(1900,1,0),Masterdata!$B$3&gt;$E30)), "0:00", IF($H30&gt;TIME(0,0,0), IF($H30-$V$8&gt;=0, TEXT($H30-$V$8, "[t]:mm"), "-"&amp;TEXT(ABS($H30-$V$8), "[t]:mm")), IFERROR(IF($G30-$V$8=0, IF($G30-$V$8&gt;=0, TEXT($G30-$V$8, "[t]:mm"), "-"&amp;TEXT(ABS($G30-$V$8), "[t]:mm")), IF($J30-$I30&gt;=0, TEXT($J30-$I30, "[t]:mm"), "-"&amp;TEXT(ABS($J30-$I30), "[t]:mm"))), IF($J30-$I30-$V$8&gt;=0, TEXT($J30-$I30-$V$8, "[t]:mm"), "-"&amp;TEXT(ABS($J30-$I30-$V$8), "[t]:mm")))))</f>
        <v>0:00</v>
      </c>
      <c r="L30" s="54" t="str">
        <f t="shared" si="3"/>
        <v>0</v>
      </c>
      <c r="M30" s="58" t="str">
        <f t="shared" si="4"/>
        <v>0</v>
      </c>
      <c r="N30" s="51" t="str">
        <f t="shared" si="5"/>
        <v>00</v>
      </c>
      <c r="O30" s="57">
        <f t="shared" si="6"/>
        <v>0</v>
      </c>
      <c r="P30" s="6">
        <f t="shared" si="7"/>
        <v>0</v>
      </c>
      <c r="Q30" s="63"/>
    </row>
    <row r="31" spans="1:21" ht="15.75" x14ac:dyDescent="0.25">
      <c r="A31" s="12">
        <f t="shared" si="1"/>
        <v>26</v>
      </c>
      <c r="B31" s="13">
        <f t="shared" si="8"/>
        <v>45468</v>
      </c>
      <c r="C31" s="14" t="str" cm="1">
        <f t="array" ref="C31">_xlfn.SWITCH(WEEKDAY($D31, 2), 1, "mandag", 2, "tirsdag", 3, "onsdag", 4, "torsdag", 5, "fredag", 6, "lørdag", 7, "søndag")</f>
        <v>tirsdag</v>
      </c>
      <c r="D31">
        <f t="shared" si="0"/>
        <v>3</v>
      </c>
      <c r="E31" s="42">
        <f t="shared" si="2"/>
        <v>45468</v>
      </c>
      <c r="F31" s="15" t="s">
        <v>21</v>
      </c>
      <c r="G31" s="17" cm="1">
        <f t="array" ref="G31">IFERROR(IF(OR(AND(Masterdata!$B$4&lt;&gt;DATE(1900,1,0), Masterdata!$B$4&lt;$E31), AND(Masterdata!$B$3&lt;&gt;DATE(1900,1,0), Masterdata!$B$3&gt;$E31)), IF($H31&gt;TIME(0,0,0), "tast i næste felt", 0), IF($H31&gt;TIME(0,0,0), "Tast i næste felt", IF($H31&gt;0, 0, _xlfn.IFS($C31="lørdag", 0, $C31="søndag", 0, $F31="N", $V$8)))), "Tast i næste felt")</f>
        <v>0.30833333333333335</v>
      </c>
      <c r="H31" s="17">
        <v>0</v>
      </c>
      <c r="I31" s="16">
        <v>0</v>
      </c>
      <c r="J31" s="16">
        <v>0</v>
      </c>
      <c r="K31" s="50" t="str">
        <f>IF(OR(AND(Masterdata!$B$4&lt;&gt;DATE(1900,1,0),Masterdata!$B$4&lt;$E31),AND(Masterdata!$B$3&lt;&gt;DATE(1900,1,0),Masterdata!$B$3&gt;$E31)), "0:00", IF($H31&gt;TIME(0,0,0), IF($H31-$V$8&gt;=0, TEXT($H31-$V$8, "[t]:mm"), "-"&amp;TEXT(ABS($H31-$V$8), "[t]:mm")), IFERROR(IF($G31-$V$8=0, IF($G31-$V$8&gt;=0, TEXT($G31-$V$8, "[t]:mm"), "-"&amp;TEXT(ABS($G31-$V$8), "[t]:mm")), IF($J31-$I31&gt;=0, TEXT($J31-$I31, "[t]:mm"), "-"&amp;TEXT(ABS($J31-$I31), "[t]:mm"))), IF($J31-$I31-$V$8&gt;=0, TEXT($J31-$I31-$V$8, "[t]:mm"), "-"&amp;TEXT(ABS($J31-$I31-$V$8), "[t]:mm")))))</f>
        <v>0:00</v>
      </c>
      <c r="L31" s="54" t="str">
        <f t="shared" si="3"/>
        <v>0</v>
      </c>
      <c r="M31" s="58" t="str">
        <f t="shared" si="4"/>
        <v>0</v>
      </c>
      <c r="N31" s="51" t="str">
        <f t="shared" si="5"/>
        <v>00</v>
      </c>
      <c r="O31" s="57">
        <f t="shared" si="6"/>
        <v>0</v>
      </c>
      <c r="P31" s="6">
        <f t="shared" si="7"/>
        <v>0</v>
      </c>
      <c r="Q31" s="63"/>
    </row>
    <row r="32" spans="1:21" ht="15.75" x14ac:dyDescent="0.25">
      <c r="A32" s="12">
        <f t="shared" si="1"/>
        <v>26</v>
      </c>
      <c r="B32" s="13">
        <f t="shared" si="8"/>
        <v>45469</v>
      </c>
      <c r="C32" s="14" t="str" cm="1">
        <f t="array" ref="C32">_xlfn.SWITCH(WEEKDAY($D32, 2), 1, "mandag", 2, "tirsdag", 3, "onsdag", 4, "torsdag", 5, "fredag", 6, "lørdag", 7, "søndag")</f>
        <v>onsdag</v>
      </c>
      <c r="D32">
        <f t="shared" si="0"/>
        <v>4</v>
      </c>
      <c r="E32" s="42">
        <f t="shared" si="2"/>
        <v>45469</v>
      </c>
      <c r="F32" s="15" t="s">
        <v>21</v>
      </c>
      <c r="G32" s="17" cm="1">
        <f t="array" ref="G32">IFERROR(IF(OR(AND(Masterdata!$B$4&lt;&gt;DATE(1900,1,0), Masterdata!$B$4&lt;$E32), AND(Masterdata!$B$3&lt;&gt;DATE(1900,1,0), Masterdata!$B$3&gt;$E32)), IF($H32&gt;TIME(0,0,0), "tast i næste felt", 0), IF($H32&gt;TIME(0,0,0), "Tast i næste felt", IF($H32&gt;0, 0, _xlfn.IFS($C32="lørdag", 0, $C32="søndag", 0, $F32="N", $V$8)))), "Tast i næste felt")</f>
        <v>0.30833333333333335</v>
      </c>
      <c r="H32" s="17">
        <v>0</v>
      </c>
      <c r="I32" s="16">
        <v>0</v>
      </c>
      <c r="J32" s="16">
        <v>0</v>
      </c>
      <c r="K32" s="50" t="str">
        <f>IF(OR(AND(Masterdata!$B$4&lt;&gt;DATE(1900,1,0),Masterdata!$B$4&lt;$E32),AND(Masterdata!$B$3&lt;&gt;DATE(1900,1,0),Masterdata!$B$3&gt;$E32)), "0:00", IF($H32&gt;TIME(0,0,0), IF($H32-$V$8&gt;=0, TEXT($H32-$V$8, "[t]:mm"), "-"&amp;TEXT(ABS($H32-$V$8), "[t]:mm")), IFERROR(IF($G32-$V$8=0, IF($G32-$V$8&gt;=0, TEXT($G32-$V$8, "[t]:mm"), "-"&amp;TEXT(ABS($G32-$V$8), "[t]:mm")), IF($J32-$I32&gt;=0, TEXT($J32-$I32, "[t]:mm"), "-"&amp;TEXT(ABS($J32-$I32), "[t]:mm"))), IF($J32-$I32-$V$8&gt;=0, TEXT($J32-$I32-$V$8, "[t]:mm"), "-"&amp;TEXT(ABS($J32-$I32-$V$8), "[t]:mm")))))</f>
        <v>0:00</v>
      </c>
      <c r="L32" s="54" t="str">
        <f t="shared" si="3"/>
        <v>0</v>
      </c>
      <c r="M32" s="58" t="str">
        <f t="shared" si="4"/>
        <v>0</v>
      </c>
      <c r="N32" s="51" t="str">
        <f t="shared" si="5"/>
        <v>00</v>
      </c>
      <c r="O32" s="57">
        <f t="shared" si="6"/>
        <v>0</v>
      </c>
      <c r="P32" s="6">
        <f t="shared" si="7"/>
        <v>0</v>
      </c>
      <c r="Q32" s="63"/>
    </row>
    <row r="33" spans="1:17" ht="15.75" x14ac:dyDescent="0.25">
      <c r="A33" s="12">
        <f t="shared" si="1"/>
        <v>26</v>
      </c>
      <c r="B33" s="13">
        <f t="shared" si="8"/>
        <v>45470</v>
      </c>
      <c r="C33" s="14" t="str" cm="1">
        <f t="array" ref="C33">_xlfn.SWITCH(WEEKDAY($D33, 2), 1, "mandag", 2, "tirsdag", 3, "onsdag", 4, "torsdag", 5, "fredag", 6, "lørdag", 7, "søndag")</f>
        <v>torsdag</v>
      </c>
      <c r="D33">
        <f t="shared" si="0"/>
        <v>5</v>
      </c>
      <c r="E33" s="42">
        <f t="shared" si="2"/>
        <v>45470</v>
      </c>
      <c r="F33" s="15" t="s">
        <v>21</v>
      </c>
      <c r="G33" s="17" cm="1">
        <f t="array" ref="G33">IFERROR(IF(OR(AND(Masterdata!$B$4&lt;&gt;DATE(1900,1,0), Masterdata!$B$4&lt;$E33), AND(Masterdata!$B$3&lt;&gt;DATE(1900,1,0), Masterdata!$B$3&gt;$E33)), IF($H33&gt;TIME(0,0,0), "tast i næste felt", 0), IF($H33&gt;TIME(0,0,0), "Tast i næste felt", IF($H33&gt;0, 0, _xlfn.IFS($C33="lørdag", 0, $C33="søndag", 0, $F33="N", $V$8)))), "Tast i næste felt")</f>
        <v>0.30833333333333335</v>
      </c>
      <c r="H33" s="17">
        <v>0</v>
      </c>
      <c r="I33" s="16">
        <v>0</v>
      </c>
      <c r="J33" s="16">
        <v>0</v>
      </c>
      <c r="K33" s="50" t="str">
        <f>IF(OR(AND(Masterdata!$B$4&lt;&gt;DATE(1900,1,0),Masterdata!$B$4&lt;$E33),AND(Masterdata!$B$3&lt;&gt;DATE(1900,1,0),Masterdata!$B$3&gt;$E33)), "0:00", IF($H33&gt;TIME(0,0,0), IF($H33-$V$8&gt;=0, TEXT($H33-$V$8, "[t]:mm"), "-"&amp;TEXT(ABS($H33-$V$8), "[t]:mm")), IFERROR(IF($G33-$V$8=0, IF($G33-$V$8&gt;=0, TEXT($G33-$V$8, "[t]:mm"), "-"&amp;TEXT(ABS($G33-$V$8), "[t]:mm")), IF($J33-$I33&gt;=0, TEXT($J33-$I33, "[t]:mm"), "-"&amp;TEXT(ABS($J33-$I33), "[t]:mm"))), IF($J33-$I33-$V$8&gt;=0, TEXT($J33-$I33-$V$8, "[t]:mm"), "-"&amp;TEXT(ABS($J33-$I33-$V$8), "[t]:mm")))))</f>
        <v>0:00</v>
      </c>
      <c r="L33" s="54" t="str">
        <f t="shared" si="3"/>
        <v>0</v>
      </c>
      <c r="M33" s="58" t="str">
        <f t="shared" si="4"/>
        <v>0</v>
      </c>
      <c r="N33" s="51" t="str">
        <f t="shared" si="5"/>
        <v>00</v>
      </c>
      <c r="O33" s="57">
        <f t="shared" si="6"/>
        <v>0</v>
      </c>
      <c r="P33" s="6">
        <f t="shared" si="7"/>
        <v>0</v>
      </c>
      <c r="Q33" s="63"/>
    </row>
    <row r="34" spans="1:17" ht="15.75" x14ac:dyDescent="0.25">
      <c r="A34" s="12">
        <f t="shared" si="1"/>
        <v>26</v>
      </c>
      <c r="B34" s="13">
        <f t="shared" si="8"/>
        <v>45471</v>
      </c>
      <c r="C34" s="14" t="str" cm="1">
        <f t="array" ref="C34">_xlfn.SWITCH(WEEKDAY($D34, 2), 1, "mandag", 2, "tirsdag", 3, "onsdag", 4, "torsdag", 5, "fredag", 6, "lørdag", 7, "søndag")</f>
        <v>fredag</v>
      </c>
      <c r="D34">
        <f t="shared" si="0"/>
        <v>6</v>
      </c>
      <c r="E34" s="42">
        <f t="shared" si="2"/>
        <v>45471</v>
      </c>
      <c r="F34" s="15" t="s">
        <v>21</v>
      </c>
      <c r="G34" s="17" cm="1">
        <f t="array" ref="G34">IFERROR(IF(OR(AND(Masterdata!$B$4&lt;&gt;DATE(1900,1,0), Masterdata!$B$4&lt;$E34), AND(Masterdata!$B$3&lt;&gt;DATE(1900,1,0), Masterdata!$B$3&gt;$E34)), IF($H34&gt;TIME(0,0,0), "tast i næste felt", 0), IF($H34&gt;TIME(0,0,0), "Tast i næste felt", IF($H34&gt;0, 0, _xlfn.IFS($C34="lørdag", 0, $C34="søndag", 0, $F34="N", $V$8)))), "Tast i næste felt")</f>
        <v>0.30833333333333335</v>
      </c>
      <c r="H34" s="17">
        <v>0</v>
      </c>
      <c r="I34" s="16">
        <v>0</v>
      </c>
      <c r="J34" s="16">
        <v>0</v>
      </c>
      <c r="K34" s="50" t="str">
        <f>IF(OR(AND(Masterdata!$B$4&lt;&gt;DATE(1900,1,0),Masterdata!$B$4&lt;$E34),AND(Masterdata!$B$3&lt;&gt;DATE(1900,1,0),Masterdata!$B$3&gt;$E34)), "0:00", IF($H34&gt;TIME(0,0,0), IF($H34-$V$8&gt;=0, TEXT($H34-$V$8, "[t]:mm"), "-"&amp;TEXT(ABS($H34-$V$8), "[t]:mm")), IFERROR(IF($G34-$V$8=0, IF($G34-$V$8&gt;=0, TEXT($G34-$V$8, "[t]:mm"), "-"&amp;TEXT(ABS($G34-$V$8), "[t]:mm")), IF($J34-$I34&gt;=0, TEXT($J34-$I34, "[t]:mm"), "-"&amp;TEXT(ABS($J34-$I34), "[t]:mm"))), IF($J34-$I34-$V$8&gt;=0, TEXT($J34-$I34-$V$8, "[t]:mm"), "-"&amp;TEXT(ABS($J34-$I34-$V$8), "[t]:mm")))))</f>
        <v>0:00</v>
      </c>
      <c r="L34" s="54" t="str">
        <f t="shared" si="3"/>
        <v>0</v>
      </c>
      <c r="M34" s="58" t="str">
        <f t="shared" si="4"/>
        <v>0</v>
      </c>
      <c r="N34" s="51" t="str">
        <f t="shared" si="5"/>
        <v>00</v>
      </c>
      <c r="O34" s="57">
        <f t="shared" si="6"/>
        <v>0</v>
      </c>
      <c r="P34" s="6">
        <f t="shared" si="7"/>
        <v>0</v>
      </c>
      <c r="Q34" s="63"/>
    </row>
    <row r="35" spans="1:17" ht="15.75" x14ac:dyDescent="0.25">
      <c r="A35" s="12">
        <f t="shared" si="1"/>
        <v>26</v>
      </c>
      <c r="B35" s="13">
        <f t="shared" si="8"/>
        <v>45472</v>
      </c>
      <c r="C35" s="14" t="str" cm="1">
        <f t="array" ref="C35">_xlfn.SWITCH(WEEKDAY($D35, 2), 1, "mandag", 2, "tirsdag", 3, "onsdag", 4, "torsdag", 5, "fredag", 6, "lørdag", 7, "søndag")</f>
        <v>lørdag</v>
      </c>
      <c r="D35">
        <f t="shared" si="0"/>
        <v>7</v>
      </c>
      <c r="E35" s="42">
        <f t="shared" si="2"/>
        <v>45472</v>
      </c>
      <c r="F35" s="15" t="s">
        <v>21</v>
      </c>
      <c r="G35" s="17" cm="1">
        <f t="array" ref="G35">IFERROR(IF(OR(AND(Masterdata!$B$4&lt;&gt;DATE(1900,1,0), Masterdata!$B$4&lt;$E35), AND(Masterdata!$B$3&lt;&gt;DATE(1900,1,0), Masterdata!$B$3&gt;$E35)), IF($H35&gt;TIME(0,0,0), "tast i næste felt", 0), IF($H35&gt;TIME(0,0,0), "Tast i næste felt", IF($H35&gt;0, 0, _xlfn.IFS($C35="lørdag", 0, $C35="søndag", 0, $F35="N", $V$8)))), "Tast i næste felt")</f>
        <v>0</v>
      </c>
      <c r="H35" s="17">
        <v>0</v>
      </c>
      <c r="I35" s="16">
        <v>0</v>
      </c>
      <c r="J35" s="16">
        <v>0</v>
      </c>
      <c r="K35" s="50" t="str">
        <f>IF(OR(AND(Masterdata!$B$4&lt;&gt;DATE(1900,1,0),Masterdata!$B$4&lt;$E35),AND(Masterdata!$B$3&lt;&gt;DATE(1900,1,0),Masterdata!$B$3&gt;$E35)), "0:00", IF($H35&gt;TIME(0,0,0), IF($H35-$V$8&gt;=0, TEXT($H35-$V$8, "[t]:mm"), "-"&amp;TEXT(ABS($H35-$V$8), "[t]:mm")), IFERROR(IF($G35-$V$8=0, IF($G35-$V$8&gt;=0, TEXT($G35-$V$8, "[t]:mm"), "-"&amp;TEXT(ABS($G35-$V$8), "[t]:mm")), IF($J35-$I35&gt;=0, TEXT($J35-$I35, "[t]:mm"), "-"&amp;TEXT(ABS($J35-$I35), "[t]:mm"))), IF($J35-$I35-$V$8&gt;=0, TEXT($J35-$I35-$V$8, "[t]:mm"), "-"&amp;TEXT(ABS($J35-$I35-$V$8), "[t]:mm")))))</f>
        <v>0:00</v>
      </c>
      <c r="L35" s="54" t="str">
        <f t="shared" si="3"/>
        <v>0</v>
      </c>
      <c r="M35" s="58" t="str">
        <f t="shared" si="4"/>
        <v>0</v>
      </c>
      <c r="N35" s="51" t="str">
        <f t="shared" si="5"/>
        <v>00</v>
      </c>
      <c r="O35" s="57">
        <f t="shared" si="6"/>
        <v>0</v>
      </c>
      <c r="P35" s="6">
        <f t="shared" si="7"/>
        <v>0</v>
      </c>
      <c r="Q35" s="63"/>
    </row>
    <row r="36" spans="1:17" ht="15.75" x14ac:dyDescent="0.25">
      <c r="A36" s="12">
        <f t="shared" si="1"/>
        <v>26</v>
      </c>
      <c r="B36" s="13">
        <f t="shared" si="8"/>
        <v>45473</v>
      </c>
      <c r="C36" s="14" t="str" cm="1">
        <f t="array" ref="C36">_xlfn.SWITCH(WEEKDAY($D36, 2), 1, "mandag", 2, "tirsdag", 3, "onsdag", 4, "torsdag", 5, "fredag", 6, "lørdag", 7, "søndag")</f>
        <v>søndag</v>
      </c>
      <c r="D36">
        <f t="shared" si="0"/>
        <v>8</v>
      </c>
      <c r="E36" s="42">
        <f t="shared" si="2"/>
        <v>45473</v>
      </c>
      <c r="F36" s="15" t="s">
        <v>21</v>
      </c>
      <c r="G36" s="17" cm="1">
        <f t="array" ref="G36">IFERROR(IF(OR(AND(Masterdata!$B$4&lt;&gt;DATE(1900,1,0), Masterdata!$B$4&lt;$E36), AND(Masterdata!$B$3&lt;&gt;DATE(1900,1,0), Masterdata!$B$3&gt;$E36)), IF($H36&gt;TIME(0,0,0), "tast i næste felt", 0), IF($H36&gt;TIME(0,0,0), "Tast i næste felt", IF($H36&gt;0, 0, _xlfn.IFS($C36="lørdag", 0, $C36="søndag", 0, $F36="N", $V$8)))), "Tast i næste felt")</f>
        <v>0</v>
      </c>
      <c r="H36" s="17">
        <v>0</v>
      </c>
      <c r="I36" s="16">
        <v>0</v>
      </c>
      <c r="J36" s="16">
        <v>0</v>
      </c>
      <c r="K36" s="50" t="str">
        <f>IF(OR(AND(Masterdata!$B$4&lt;&gt;DATE(1900,1,0),Masterdata!$B$4&lt;$E36),AND(Masterdata!$B$3&lt;&gt;DATE(1900,1,0),Masterdata!$B$3&gt;$E36)), "0:00", IF($H36&gt;TIME(0,0,0), IF($H36-$V$8&gt;=0, TEXT($H36-$V$8, "[t]:mm"), "-"&amp;TEXT(ABS($H36-$V$8), "[t]:mm")), IFERROR(IF($G36-$V$8=0, IF($G36-$V$8&gt;=0, TEXT($G36-$V$8, "[t]:mm"), "-"&amp;TEXT(ABS($G36-$V$8), "[t]:mm")), IF($J36-$I36&gt;=0, TEXT($J36-$I36, "[t]:mm"), "-"&amp;TEXT(ABS($J36-$I36), "[t]:mm"))), IF($J36-$I36-$V$8&gt;=0, TEXT($J36-$I36-$V$8, "[t]:mm"), "-"&amp;TEXT(ABS($J36-$I36-$V$8), "[t]:mm")))))</f>
        <v>0:00</v>
      </c>
      <c r="L36" s="54" t="str">
        <f t="shared" si="3"/>
        <v>0</v>
      </c>
      <c r="M36" s="58" t="str">
        <f t="shared" si="4"/>
        <v>0</v>
      </c>
      <c r="N36" s="51" t="str">
        <f t="shared" si="5"/>
        <v>00</v>
      </c>
      <c r="O36" s="57">
        <f t="shared" si="6"/>
        <v>0</v>
      </c>
      <c r="P36" s="6">
        <f t="shared" si="7"/>
        <v>0</v>
      </c>
      <c r="Q36" s="63"/>
    </row>
    <row r="37" spans="1:17" x14ac:dyDescent="0.25">
      <c r="K37" s="8"/>
      <c r="P37" s="6"/>
    </row>
  </sheetData>
  <conditionalFormatting sqref="A7:J36">
    <cfRule type="expression" dxfId="34" priority="2">
      <formula>OR($C7="lørdag", $C7="søndag")</formula>
    </cfRule>
  </conditionalFormatting>
  <conditionalFormatting sqref="G7:G36">
    <cfRule type="expression" dxfId="33" priority="4">
      <formula>AND($F7="N", NOT(OR($C7="lørdag", $C7="søndag")))</formula>
    </cfRule>
  </conditionalFormatting>
  <conditionalFormatting sqref="H7:J36">
    <cfRule type="expression" dxfId="32" priority="1">
      <formula>OR($F7="N")</formula>
    </cfRule>
    <cfRule type="expression" dxfId="31" priority="3">
      <formula>$F7="R"</formula>
    </cfRule>
  </conditionalFormatting>
  <dataValidations count="1">
    <dataValidation type="list" allowBlank="1" showInputMessage="1" showErrorMessage="1" sqref="F7:F36" xr:uid="{6801441B-D623-423A-9BE7-CF78EEF9A4F7}">
      <formula1>$Q$2:$Q$3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E831E-36AE-4774-928C-411DC8DF6003}">
  <dimension ref="A1:X38"/>
  <sheetViews>
    <sheetView zoomScale="70" zoomScaleNormal="70" workbookViewId="0">
      <selection activeCell="R3" sqref="R3"/>
    </sheetView>
  </sheetViews>
  <sheetFormatPr defaultRowHeight="15" outlineLevelCol="1" x14ac:dyDescent="0.25"/>
  <cols>
    <col min="1" max="1" width="20.85546875" bestFit="1" customWidth="1"/>
    <col min="2" max="2" width="14.140625" customWidth="1"/>
    <col min="3" max="3" width="13" bestFit="1" customWidth="1"/>
    <col min="4" max="4" width="15" hidden="1" customWidth="1"/>
    <col min="5" max="5" width="12.85546875" hidden="1" customWidth="1"/>
    <col min="6" max="6" width="11.28515625" customWidth="1"/>
    <col min="7" max="7" width="20.85546875" bestFit="1" customWidth="1"/>
    <col min="8" max="8" width="20.85546875" customWidth="1"/>
    <col min="9" max="10" width="11.28515625" customWidth="1"/>
    <col min="11" max="11" width="17.28515625" bestFit="1" customWidth="1"/>
    <col min="12" max="16" width="9.85546875" hidden="1" customWidth="1" outlineLevel="1"/>
    <col min="17" max="17" width="26.8554687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36" t="str">
        <f>Masterdata!B13</f>
        <v>Standard work hours</v>
      </c>
      <c r="B1" s="37">
        <v>37</v>
      </c>
      <c r="Q1" s="45" t="s">
        <v>84</v>
      </c>
      <c r="R1" s="46" t="s">
        <v>85</v>
      </c>
    </row>
    <row r="2" spans="1:24" ht="30.75" x14ac:dyDescent="0.25">
      <c r="A2" s="34" t="s">
        <v>79</v>
      </c>
      <c r="B2" s="84" t="str">
        <f>IF(P38&lt;0,"-"&amp;TEXT(ABS(P38/24),"[TT]:mm"),TEXT(P38/24,"[TT]:mm"))</f>
        <v>00:00</v>
      </c>
      <c r="Q2" s="47" t="s">
        <v>21</v>
      </c>
      <c r="R2" s="49" t="s">
        <v>86</v>
      </c>
    </row>
    <row r="3" spans="1:24" ht="63" x14ac:dyDescent="0.25">
      <c r="A3" s="39" t="s">
        <v>72</v>
      </c>
      <c r="B3" s="40">
        <f>B7</f>
        <v>45474</v>
      </c>
      <c r="Q3" s="48" t="s">
        <v>23</v>
      </c>
      <c r="R3" s="85" t="s">
        <v>97</v>
      </c>
    </row>
    <row r="4" spans="1:24" ht="16.5" thickBot="1" x14ac:dyDescent="0.3">
      <c r="A4" s="35" t="s">
        <v>81</v>
      </c>
      <c r="B4" s="41" t="s">
        <v>82</v>
      </c>
      <c r="Q4" s="44" t="s">
        <v>87</v>
      </c>
      <c r="R4" s="43" t="s">
        <v>88</v>
      </c>
    </row>
    <row r="5" spans="1:24" ht="15.75" thickBot="1" x14ac:dyDescent="0.3"/>
    <row r="6" spans="1:24" ht="21.75" customHeight="1" thickBot="1" x14ac:dyDescent="0.3">
      <c r="A6" s="9" t="s">
        <v>89</v>
      </c>
      <c r="B6" s="10" t="s">
        <v>90</v>
      </c>
      <c r="C6" s="10" t="s">
        <v>91</v>
      </c>
      <c r="D6" s="10" t="s">
        <v>30</v>
      </c>
      <c r="E6" s="10" t="s">
        <v>31</v>
      </c>
      <c r="F6" s="10" t="s">
        <v>84</v>
      </c>
      <c r="G6" s="10" t="s">
        <v>77</v>
      </c>
      <c r="H6" s="10" t="s">
        <v>92</v>
      </c>
      <c r="I6" s="11" t="s">
        <v>34</v>
      </c>
      <c r="J6" s="11" t="s">
        <v>93</v>
      </c>
      <c r="K6" s="10" t="s">
        <v>94</v>
      </c>
      <c r="L6" s="55" t="s">
        <v>37</v>
      </c>
      <c r="M6" s="56" t="s">
        <v>38</v>
      </c>
      <c r="N6" s="56" t="s">
        <v>39</v>
      </c>
      <c r="O6" s="56"/>
      <c r="Q6" s="10" t="s">
        <v>95</v>
      </c>
      <c r="U6" t="s">
        <v>41</v>
      </c>
      <c r="V6">
        <v>5</v>
      </c>
    </row>
    <row r="7" spans="1:24" ht="15.75" x14ac:dyDescent="0.25">
      <c r="A7" s="12">
        <f>WEEKNUM($B7,21)</f>
        <v>27</v>
      </c>
      <c r="B7" s="13">
        <f>DATE(Masterdata!$B$5,7,1)</f>
        <v>45474</v>
      </c>
      <c r="C7" s="14" t="str" cm="1">
        <f t="array" ref="C7">_xlfn.SWITCH(WEEKDAY($D7, 2), 1, "Monday", 2, "Tuesday", 3, "Wednesday", 4, "Thursday", 5, "Friday", 6, "Saturday", 7, "Sunday")</f>
        <v>Monday</v>
      </c>
      <c r="D7">
        <f t="shared" ref="D7:D37" si="0">WEEKDAY($B7, 2)+1</f>
        <v>2</v>
      </c>
      <c r="E7" s="42">
        <f>$B7</f>
        <v>45474</v>
      </c>
      <c r="F7" s="15" t="s">
        <v>21</v>
      </c>
      <c r="G7" s="17">
        <f>IFERROR(
    IF($F7="N", $V$8,
        IF(OR(
            AND(Masterdata!$B$4&lt;&gt;DATE(1900,1,0), Masterdata!$B$4&lt;$E7),
            AND(Masterdata!$B$3&lt;&gt;DATE(1900,1,0), Masterdata!$B$3&gt;$E7)
        ),
        IF($H7&gt;=TIME(0,0,0), "Write in the next field", 0),
        IF($H7&gt;=TIME(0,0,0), "Write in the next field",
            IF($H7&gt;=0, 0,
                IF(OR($C7="Saturday", $C7="Sunday"), 0, 0)
            )
        )
    )),
"Write in the next field")</f>
        <v>0.30833333333333335</v>
      </c>
      <c r="H7" s="16">
        <v>0</v>
      </c>
      <c r="I7" s="16">
        <v>0</v>
      </c>
      <c r="J7" s="16">
        <v>0</v>
      </c>
      <c r="K7" s="63" t="str">
        <f>IF(F7="N","0:00",IF(
OR(
AND(Masterdata!$B$4&lt;&gt;DATE(1900,1,0),Masterdata!$B$4&lt;$E7),
AND(Masterdata!$B$3&lt;&gt;DATE(1900,1,0),Masterdata!$B$3&gt;$E7)
),
"0:00",
IF(
$H7&gt;TIME(0,0,0),
IF(
OR($C7="Saturday",$C7="Sunday"),
TEXT($H7,"[tt]:mm"),
IF($H7-$V$8&gt;=0,TEXT($H7-$V$8,"[tt]:mm"),"-"&amp;TEXT(ABS($H7-$V$8),"[tt]:mm"))
),
IF(
OR($C7="Saturday",$C7="Sunday"),
IF($J7-$I7&gt;=0,TEXT($J7-$I7,"[tt]:mm"),"-"&amp;TEXT(ABS($J7-$I7),"[tt]:mm")),
IFERROR(
IF($G7-$V$8=0,
IF($G7-$V$8&gt;=0,TEXT($G7-$V$8,"[tt]:mm"),"-"&amp;TEXT(ABS($G7-$V$8),"[tt]:mm")),
IF($J7-$I7&gt;=0,TEXT($J7-$I7,"[tt]:mm"),"-"&amp;TEXT(ABS($J7-$I7),"[tt]:mm"))
),
IF(
$J7-$I7-$V$8&gt;=0,
TEXT($J7-$I7-$V$8,"[tt]:mm"),
"-"&amp;TEXT(ABS($J7-$I7-$V$8),"[tt]:mm")
)
)
)
)
))</f>
        <v>0:00</v>
      </c>
      <c r="L7" s="54" t="str">
        <f>LEFT(K7,1)</f>
        <v>0</v>
      </c>
      <c r="M7" s="58" t="str">
        <f>IF($L7="-",LEFT($K7,3),LEFT($K7,2))</f>
        <v>0:</v>
      </c>
      <c r="N7" s="51" t="str">
        <f>IF($L7="-",MID($K7,5,2),MID($K7,4,2))</f>
        <v>0</v>
      </c>
      <c r="O7" s="57">
        <f>N7/60</f>
        <v>0</v>
      </c>
      <c r="P7" s="6">
        <f>IF(L7="-",M7-O7,M7+O7)</f>
        <v>0</v>
      </c>
      <c r="Q7" s="68"/>
      <c r="R7" s="53"/>
      <c r="U7" t="s">
        <v>42</v>
      </c>
      <c r="V7" s="3">
        <f>B1/V6</f>
        <v>7.4</v>
      </c>
      <c r="W7">
        <v>0</v>
      </c>
      <c r="X7" s="8"/>
    </row>
    <row r="8" spans="1:24" ht="15.75" x14ac:dyDescent="0.25">
      <c r="A8" s="12">
        <f t="shared" ref="A8:A37" si="1">WEEKNUM($B8,21)</f>
        <v>27</v>
      </c>
      <c r="B8" s="13">
        <f>B7+1</f>
        <v>45475</v>
      </c>
      <c r="C8" s="14" t="str" cm="1">
        <f t="array" ref="C8">_xlfn.SWITCH(WEEKDAY($D8, 2), 1, "Monday", 2, "Tuesday", 3, "Wednesday", 4, "Thursday", 5, "Friday", 6, "Saturday", 7, "Sunday")</f>
        <v>Tuesday</v>
      </c>
      <c r="D8">
        <f t="shared" si="0"/>
        <v>3</v>
      </c>
      <c r="E8" s="42">
        <f t="shared" ref="E8:E37" si="2">$B8</f>
        <v>45475</v>
      </c>
      <c r="F8" s="15" t="s">
        <v>21</v>
      </c>
      <c r="G8" s="17">
        <f>IFERROR(
    IF($F8="N", $V$8,
        IF(OR(
            AND(Masterdata!$B$4&lt;&gt;DATE(1900,1,0), Masterdata!$B$4&lt;$E8),
            AND(Masterdata!$B$3&lt;&gt;DATE(1900,1,0), Masterdata!$B$3&gt;$E8)
        ),
        IF($H8&gt;=TIME(0,0,0), "Write in the next field", 0),
        IF($H8&gt;=TIME(0,0,0), "Write in the next field",
            IF($H8&gt;=0, 0,
                IF(OR($C8="Saturday", $C8="Sunday"), 0, 0)
            )
        )
    )),
"Write in the next field")</f>
        <v>0.30833333333333335</v>
      </c>
      <c r="H8" s="16">
        <v>0</v>
      </c>
      <c r="I8" s="16">
        <v>0</v>
      </c>
      <c r="J8" s="16">
        <v>0</v>
      </c>
      <c r="K8" s="63" t="str">
        <f>IF(F8="N","0:00",IF(
OR(
AND(Masterdata!$B$4&lt;&gt;DATE(1900,1,0),Masterdata!$B$4&lt;$E8),
AND(Masterdata!$B$3&lt;&gt;DATE(1900,1,0),Masterdata!$B$3&gt;$E8)
),
"0:00",
IF(
$H8&gt;TIME(0,0,0),
IF(
OR($C8="Saturday",$C8="Sunday"),
TEXT($H8,"[tt]:mm"),
IF($H8-$V$8&gt;=0,TEXT($H8-$V$8,"[tt]:mm"),"-"&amp;TEXT(ABS($H8-$V$8),"[tt]:mm"))
),
IF(
OR($C8="Saturday",$C8="Sunday"),
IF($J8-$I8&gt;=0,TEXT($J8-$I8,"[tt]:mm"),"-"&amp;TEXT(ABS($J8-$I8),"[tt]:mm")),
IFERROR(
IF($G8-$V$8=0,
IF($G8-$V$8&gt;=0,TEXT($G8-$V$8,"[tt]:mm"),"-"&amp;TEXT(ABS($G8-$V$8),"[tt]:mm")),
IF($J8-$I8&gt;=0,TEXT($J8-$I8,"[tt]:mm"),"-"&amp;TEXT(ABS($J8-$I8),"[tt]:mm"))
),
IF(
$J8-$I8-$V$8&gt;=0,
TEXT($J8-$I8-$V$8,"[tt]:mm"),
"-"&amp;TEXT(ABS($J8-$I8-$V$8),"[tt]:mm")
)
)
)
)
))</f>
        <v>0:00</v>
      </c>
      <c r="L8" s="54" t="str">
        <f t="shared" ref="L8:L37" si="3">LEFT(K8,1)</f>
        <v>0</v>
      </c>
      <c r="M8" s="58" t="str">
        <f t="shared" ref="M8:M37" si="4">IF($L8="-",LEFT($K8,3),LEFT($K8,2))</f>
        <v>0:</v>
      </c>
      <c r="N8" s="51" t="str">
        <f t="shared" ref="N8:N37" si="5">IF($L8="-",MID($K8,5,2),MID($K8,4,2))</f>
        <v>0</v>
      </c>
      <c r="O8" s="57">
        <f t="shared" ref="O8:O37" si="6">N8/60</f>
        <v>0</v>
      </c>
      <c r="P8" s="6">
        <f t="shared" ref="P8:P37" si="7">IF(L8="-",M8-O8,M8+O8)</f>
        <v>0</v>
      </c>
      <c r="Q8" s="69"/>
      <c r="U8" t="s">
        <v>43</v>
      </c>
      <c r="V8" s="8">
        <f>V7/24</f>
        <v>0.30833333333333335</v>
      </c>
    </row>
    <row r="9" spans="1:24" ht="15.75" x14ac:dyDescent="0.25">
      <c r="A9" s="12">
        <f t="shared" si="1"/>
        <v>27</v>
      </c>
      <c r="B9" s="13">
        <f t="shared" ref="B9:B37" si="8">B8+1</f>
        <v>45476</v>
      </c>
      <c r="C9" s="14" t="str" cm="1">
        <f t="array" ref="C9">_xlfn.SWITCH(WEEKDAY($D9, 2), 1, "Monday", 2, "Tuesday", 3, "Wednesday", 4, "Thursday", 5, "Friday", 6, "Saturday", 7, "Sunday")</f>
        <v>Wednesday</v>
      </c>
      <c r="D9">
        <f t="shared" si="0"/>
        <v>4</v>
      </c>
      <c r="E9" s="42">
        <f t="shared" si="2"/>
        <v>45476</v>
      </c>
      <c r="F9" s="15" t="s">
        <v>21</v>
      </c>
      <c r="G9" s="17">
        <f>IFERROR(
    IF($F9="N", $V$8,
        IF(OR(
            AND(Masterdata!$B$4&lt;&gt;DATE(1900,1,0), Masterdata!$B$4&lt;$E9),
            AND(Masterdata!$B$3&lt;&gt;DATE(1900,1,0), Masterdata!$B$3&gt;$E9)
        ),
        IF($H9&gt;=TIME(0,0,0), "Write in the next field", 0),
        IF($H9&gt;=TIME(0,0,0), "Write in the next field",
            IF($H9&gt;=0, 0,
                IF(OR($C9="Saturday", $C9="Sunday"), 0, 0)
            )
        )
    )),
"Write in the next field")</f>
        <v>0.30833333333333335</v>
      </c>
      <c r="H9" s="16">
        <v>0</v>
      </c>
      <c r="I9" s="16">
        <v>0</v>
      </c>
      <c r="J9" s="16">
        <v>0</v>
      </c>
      <c r="K9" s="63" t="str">
        <f>IF(F9="N","0:00",IF(
OR(
AND(Masterdata!$B$4&lt;&gt;DATE(1900,1,0),Masterdata!$B$4&lt;$E9),
AND(Masterdata!$B$3&lt;&gt;DATE(1900,1,0),Masterdata!$B$3&gt;$E9)
),
"0:00",
IF(
$H9&gt;TIME(0,0,0),
IF(
OR($C9="Saturday",$C9="Sunday"),
TEXT($H9,"[tt]:mm"),
IF($H9-$V$8&gt;=0,TEXT($H9-$V$8,"[tt]:mm"),"-"&amp;TEXT(ABS($H9-$V$8),"[tt]:mm"))
),
IF(
OR($C9="Saturday",$C9="Sunday"),
IF($J9-$I9&gt;=0,TEXT($J9-$I9,"[tt]:mm"),"-"&amp;TEXT(ABS($J9-$I9),"[tt]:mm")),
IFERROR(
IF($G9-$V$8=0,
IF($G9-$V$8&gt;=0,TEXT($G9-$V$8,"[tt]:mm"),"-"&amp;TEXT(ABS($G9-$V$8),"[tt]:mm")),
IF($J9-$I9&gt;=0,TEXT($J9-$I9,"[tt]:mm"),"-"&amp;TEXT(ABS($J9-$I9),"[tt]:mm"))
),
IF(
$J9-$I9-$V$8&gt;=0,
TEXT($J9-$I9-$V$8,"[tt]:mm"),
"-"&amp;TEXT(ABS($J9-$I9-$V$8),"[tt]:mm")
)
)
)
)
))</f>
        <v>0:00</v>
      </c>
      <c r="L9" s="54" t="str">
        <f t="shared" si="3"/>
        <v>0</v>
      </c>
      <c r="M9" s="58" t="str">
        <f t="shared" si="4"/>
        <v>0:</v>
      </c>
      <c r="N9" s="51" t="str">
        <f t="shared" si="5"/>
        <v>0</v>
      </c>
      <c r="O9" s="57">
        <f t="shared" si="6"/>
        <v>0</v>
      </c>
      <c r="P9" s="6">
        <f t="shared" si="7"/>
        <v>0</v>
      </c>
      <c r="Q9" s="69"/>
      <c r="S9" t="s">
        <v>21</v>
      </c>
      <c r="T9" t="s">
        <v>44</v>
      </c>
      <c r="U9" t="s">
        <v>45</v>
      </c>
      <c r="V9" s="6">
        <f>(B1/37)*160.33</f>
        <v>160.33000000000001</v>
      </c>
    </row>
    <row r="10" spans="1:24" ht="15.75" x14ac:dyDescent="0.25">
      <c r="A10" s="12">
        <f t="shared" si="1"/>
        <v>27</v>
      </c>
      <c r="B10" s="13">
        <f t="shared" si="8"/>
        <v>45477</v>
      </c>
      <c r="C10" s="14" t="str" cm="1">
        <f t="array" ref="C10">_xlfn.SWITCH(WEEKDAY($D10, 2), 1, "Monday", 2, "Tuesday", 3, "Wednesday", 4, "Thursday", 5, "Friday", 6, "Saturday", 7, "Sunday")</f>
        <v>Thursday</v>
      </c>
      <c r="D10">
        <f t="shared" si="0"/>
        <v>5</v>
      </c>
      <c r="E10" s="42">
        <f t="shared" si="2"/>
        <v>45477</v>
      </c>
      <c r="F10" s="15" t="s">
        <v>21</v>
      </c>
      <c r="G10" s="17">
        <f>IFERROR(
    IF($F10="N", $V$8,
        IF(OR(
            AND(Masterdata!$B$4&lt;&gt;DATE(1900,1,0), Masterdata!$B$4&lt;$E10),
            AND(Masterdata!$B$3&lt;&gt;DATE(1900,1,0), Masterdata!$B$3&gt;$E10)
        ),
        IF($H10&gt;=TIME(0,0,0), "Write in the next field", 0),
        IF($H10&gt;=TIME(0,0,0), "Write in the next field",
            IF($H10&gt;=0, 0,
                IF(OR($C10="Saturday", $C10="Sunday"), 0, 0)
            )
        )
    )),
"Write in the next field")</f>
        <v>0.30833333333333335</v>
      </c>
      <c r="H10" s="16">
        <v>0</v>
      </c>
      <c r="I10" s="16">
        <v>0</v>
      </c>
      <c r="J10" s="16">
        <v>0</v>
      </c>
      <c r="K10" s="63" t="str">
        <f>IF(F10="N","0:00",IF(
OR(
AND(Masterdata!$B$4&lt;&gt;DATE(1900,1,0),Masterdata!$B$4&lt;$E10),
AND(Masterdata!$B$3&lt;&gt;DATE(1900,1,0),Masterdata!$B$3&gt;$E10)
),
"0:00",
IF(
$H10&gt;TIME(0,0,0),
IF(
OR($C10="Saturday",$C10="Sunday"),
TEXT($H10,"[tt]:mm"),
IF($H10-$V$8&gt;=0,TEXT($H10-$V$8,"[tt]:mm"),"-"&amp;TEXT(ABS($H10-$V$8),"[tt]:mm"))
),
IF(
OR($C10="Saturday",$C10="Sunday"),
IF($J10-$I10&gt;=0,TEXT($J10-$I10,"[tt]:mm"),"-"&amp;TEXT(ABS($J10-$I10),"[tt]:mm")),
IFERROR(
IF($G10-$V$8=0,
IF($G10-$V$8&gt;=0,TEXT($G10-$V$8,"[tt]:mm"),"-"&amp;TEXT(ABS($G10-$V$8),"[tt]:mm")),
IF($J10-$I10&gt;=0,TEXT($J10-$I10,"[tt]:mm"),"-"&amp;TEXT(ABS($J10-$I10),"[tt]:mm"))
),
IF(
$J10-$I10-$V$8&gt;=0,
TEXT($J10-$I10-$V$8,"[tt]:mm"),
"-"&amp;TEXT(ABS($J10-$I10-$V$8),"[tt]:mm")
)
)
)
)
))</f>
        <v>0:00</v>
      </c>
      <c r="L10" s="54" t="str">
        <f t="shared" si="3"/>
        <v>0</v>
      </c>
      <c r="M10" s="58" t="str">
        <f t="shared" si="4"/>
        <v>0:</v>
      </c>
      <c r="N10" s="51" t="str">
        <f t="shared" si="5"/>
        <v>0</v>
      </c>
      <c r="O10" s="57">
        <f t="shared" si="6"/>
        <v>0</v>
      </c>
      <c r="P10" s="6">
        <f t="shared" si="7"/>
        <v>0</v>
      </c>
      <c r="Q10" s="69"/>
    </row>
    <row r="11" spans="1:24" ht="15.75" x14ac:dyDescent="0.25">
      <c r="A11" s="12">
        <f t="shared" si="1"/>
        <v>27</v>
      </c>
      <c r="B11" s="13">
        <f t="shared" si="8"/>
        <v>45478</v>
      </c>
      <c r="C11" s="14" t="str" cm="1">
        <f t="array" ref="C11">_xlfn.SWITCH(WEEKDAY($D11, 2), 1, "Monday", 2, "Tuesday", 3, "Wednesday", 4, "Thursday", 5, "Friday", 6, "Saturday", 7, "Sunday")</f>
        <v>Friday</v>
      </c>
      <c r="D11">
        <f t="shared" si="0"/>
        <v>6</v>
      </c>
      <c r="E11" s="42">
        <f t="shared" si="2"/>
        <v>45478</v>
      </c>
      <c r="F11" s="15" t="s">
        <v>21</v>
      </c>
      <c r="G11" s="17">
        <f>IFERROR(
    IF($F11="N", $V$8,
        IF(OR(
            AND(Masterdata!$B$4&lt;&gt;DATE(1900,1,0), Masterdata!$B$4&lt;$E11),
            AND(Masterdata!$B$3&lt;&gt;DATE(1900,1,0), Masterdata!$B$3&gt;$E11)
        ),
        IF($H11&gt;=TIME(0,0,0), "Write in the next field", 0),
        IF($H11&gt;=TIME(0,0,0), "Write in the next field",
            IF($H11&gt;=0, 0,
                IF(OR($C11="Saturday", $C11="Sunday"), 0, 0)
            )
        )
    )),
"Write in the next field")</f>
        <v>0.30833333333333335</v>
      </c>
      <c r="H11" s="16">
        <v>0</v>
      </c>
      <c r="I11" s="16">
        <v>0</v>
      </c>
      <c r="J11" s="16">
        <v>0</v>
      </c>
      <c r="K11" s="63" t="str">
        <f>IF(F11="N","0:00",IF(
OR(
AND(Masterdata!$B$4&lt;&gt;DATE(1900,1,0),Masterdata!$B$4&lt;$E11),
AND(Masterdata!$B$3&lt;&gt;DATE(1900,1,0),Masterdata!$B$3&gt;$E11)
),
"0:00",
IF(
$H11&gt;TIME(0,0,0),
IF(
OR($C11="Saturday",$C11="Sunday"),
TEXT($H11,"[tt]:mm"),
IF($H11-$V$8&gt;=0,TEXT($H11-$V$8,"[tt]:mm"),"-"&amp;TEXT(ABS($H11-$V$8),"[tt]:mm"))
),
IF(
OR($C11="Saturday",$C11="Sunday"),
IF($J11-$I11&gt;=0,TEXT($J11-$I11,"[tt]:mm"),"-"&amp;TEXT(ABS($J11-$I11),"[tt]:mm")),
IFERROR(
IF($G11-$V$8=0,
IF($G11-$V$8&gt;=0,TEXT($G11-$V$8,"[tt]:mm"),"-"&amp;TEXT(ABS($G11-$V$8),"[tt]:mm")),
IF($J11-$I11&gt;=0,TEXT($J11-$I11,"[tt]:mm"),"-"&amp;TEXT(ABS($J11-$I11),"[tt]:mm"))
),
IF(
$J11-$I11-$V$8&gt;=0,
TEXT($J11-$I11-$V$8,"[tt]:mm"),
"-"&amp;TEXT(ABS($J11-$I11-$V$8),"[tt]:mm")
)
)
)
)
))</f>
        <v>0:00</v>
      </c>
      <c r="L11" s="54" t="str">
        <f t="shared" si="3"/>
        <v>0</v>
      </c>
      <c r="M11" s="58" t="str">
        <f t="shared" si="4"/>
        <v>0:</v>
      </c>
      <c r="N11" s="51" t="str">
        <f t="shared" si="5"/>
        <v>0</v>
      </c>
      <c r="O11" s="57">
        <f t="shared" si="6"/>
        <v>0</v>
      </c>
      <c r="P11" s="6">
        <f t="shared" si="7"/>
        <v>0</v>
      </c>
      <c r="Q11" s="69"/>
      <c r="V11" s="6"/>
    </row>
    <row r="12" spans="1:24" ht="15.75" x14ac:dyDescent="0.25">
      <c r="A12" s="12">
        <f t="shared" si="1"/>
        <v>27</v>
      </c>
      <c r="B12" s="13">
        <f t="shared" si="8"/>
        <v>45479</v>
      </c>
      <c r="C12" s="14" t="str" cm="1">
        <f t="array" ref="C12">_xlfn.SWITCH(WEEKDAY($D12, 2), 1, "Monday", 2, "Tuesday", 3, "Wednesday", 4, "Thursday", 5, "Friday", 6, "Saturday", 7, "Sunday")</f>
        <v>Saturday</v>
      </c>
      <c r="D12">
        <f t="shared" si="0"/>
        <v>7</v>
      </c>
      <c r="E12" s="42">
        <f t="shared" si="2"/>
        <v>45479</v>
      </c>
      <c r="F12" s="15" t="s">
        <v>21</v>
      </c>
      <c r="G12" s="17">
        <f>IF($F12="N",0,"Write in the next field")</f>
        <v>0</v>
      </c>
      <c r="H12" s="16">
        <v>0</v>
      </c>
      <c r="I12" s="16">
        <v>0</v>
      </c>
      <c r="J12" s="16">
        <v>0</v>
      </c>
      <c r="K12" s="63" t="str">
        <f>IF(F12="N","0:00",IF(
OR(
AND(Masterdata!$B$4&lt;&gt;DATE(1900,1,0),Masterdata!$B$4&lt;$E12),
AND(Masterdata!$B$3&lt;&gt;DATE(1900,1,0),Masterdata!$B$3&gt;$E12)
),
"0:00",
IF(
$H12&gt;TIME(0,0,0),
IF(
OR($C12="Saturday",$C12="Sunday"),
TEXT($H12,"[tt]:mm"),
IF($H12-$V$8&gt;=0,TEXT($H12-$V$8,"[tt]:mm"),"-"&amp;TEXT(ABS($H12-$V$8),"[tt]:mm"))
),
IF(
OR($C12="Saturday",$C12="Sunday"),
IF($J12-$I12&gt;=0,TEXT($J12-$I12,"[tt]:mm"),"-"&amp;TEXT(ABS($J12-$I12),"[tt]:mm")),
IFERROR(
IF($G12-$V$8=0,
IF($G12-$V$8&gt;=0,TEXT($G12-$V$8,"[tt]:mm"),"-"&amp;TEXT(ABS($G12-$V$8),"[tt]:mm")),
IF($J12-$I12&gt;=0,TEXT($J12-$I12,"[tt]:mm"),"-"&amp;TEXT(ABS($J12-$I12),"[tt]:mm"))
),
IF(
$J12-$I12-$V$8&gt;=0,
TEXT($J12-$I12-$V$8,"[tt]:mm"),
"-"&amp;TEXT(ABS($J12-$I12-$V$8),"[tt]:mm")
)
)
)
)
))</f>
        <v>0:00</v>
      </c>
      <c r="L12" s="54" t="str">
        <f t="shared" si="3"/>
        <v>0</v>
      </c>
      <c r="M12" s="58" t="str">
        <f t="shared" si="4"/>
        <v>0:</v>
      </c>
      <c r="N12" s="51" t="str">
        <f t="shared" si="5"/>
        <v>0</v>
      </c>
      <c r="O12" s="57">
        <f t="shared" si="6"/>
        <v>0</v>
      </c>
      <c r="P12" s="6">
        <f t="shared" si="7"/>
        <v>0</v>
      </c>
      <c r="Q12" s="69"/>
      <c r="V12" s="38"/>
    </row>
    <row r="13" spans="1:24" ht="15.75" x14ac:dyDescent="0.25">
      <c r="A13" s="12">
        <f t="shared" si="1"/>
        <v>27</v>
      </c>
      <c r="B13" s="13">
        <f t="shared" si="8"/>
        <v>45480</v>
      </c>
      <c r="C13" s="14" t="str" cm="1">
        <f t="array" ref="C13">_xlfn.SWITCH(WEEKDAY($D13, 2), 1, "Monday", 2, "Tuesday", 3, "Wednesday", 4, "Thursday", 5, "Friday", 6, "Saturday", 7, "Sunday")</f>
        <v>Sunday</v>
      </c>
      <c r="D13">
        <f t="shared" si="0"/>
        <v>8</v>
      </c>
      <c r="E13" s="42">
        <f t="shared" si="2"/>
        <v>45480</v>
      </c>
      <c r="F13" s="15" t="s">
        <v>21</v>
      </c>
      <c r="G13" s="17">
        <f>IF($F13="N",0,"Write in the next field")</f>
        <v>0</v>
      </c>
      <c r="H13" s="16">
        <v>0</v>
      </c>
      <c r="I13" s="16">
        <v>0</v>
      </c>
      <c r="J13" s="16">
        <v>0</v>
      </c>
      <c r="K13" s="63" t="str">
        <f>IF(F13="N","0:00",IF(
OR(
AND(Masterdata!$B$4&lt;&gt;DATE(1900,1,0),Masterdata!$B$4&lt;$E13),
AND(Masterdata!$B$3&lt;&gt;DATE(1900,1,0),Masterdata!$B$3&gt;$E13)
),
"0:00",
IF(
$H13&gt;TIME(0,0,0),
IF(
OR($C13="Saturday",$C13="Sunday"),
TEXT($H13,"[tt]:mm"),
IF($H13-$V$8&gt;=0,TEXT($H13-$V$8,"[tt]:mm"),"-"&amp;TEXT(ABS($H13-$V$8),"[tt]:mm"))
),
IF(
OR($C13="Saturday",$C13="Sunday"),
IF($J13-$I13&gt;=0,TEXT($J13-$I13,"[tt]:mm"),"-"&amp;TEXT(ABS($J13-$I13),"[tt]:mm")),
IFERROR(
IF($G13-$V$8=0,
IF($G13-$V$8&gt;=0,TEXT($G13-$V$8,"[tt]:mm"),"-"&amp;TEXT(ABS($G13-$V$8),"[tt]:mm")),
IF($J13-$I13&gt;=0,TEXT($J13-$I13,"[tt]:mm"),"-"&amp;TEXT(ABS($J13-$I13),"[tt]:mm"))
),
IF(
$J13-$I13-$V$8&gt;=0,
TEXT($J13-$I13-$V$8,"[tt]:mm"),
"-"&amp;TEXT(ABS($J13-$I13-$V$8),"[tt]:mm")
)
)
)
)
))</f>
        <v>0:00</v>
      </c>
      <c r="L13" s="54" t="str">
        <f t="shared" si="3"/>
        <v>0</v>
      </c>
      <c r="M13" s="58" t="str">
        <f t="shared" si="4"/>
        <v>0:</v>
      </c>
      <c r="N13" s="51" t="str">
        <f t="shared" si="5"/>
        <v>0</v>
      </c>
      <c r="O13" s="57">
        <f t="shared" si="6"/>
        <v>0</v>
      </c>
      <c r="P13" s="6">
        <f t="shared" si="7"/>
        <v>0</v>
      </c>
      <c r="Q13" s="69"/>
    </row>
    <row r="14" spans="1:24" ht="15.75" x14ac:dyDescent="0.25">
      <c r="A14" s="12">
        <f t="shared" si="1"/>
        <v>28</v>
      </c>
      <c r="B14" s="13">
        <f t="shared" si="8"/>
        <v>45481</v>
      </c>
      <c r="C14" s="14" t="str" cm="1">
        <f t="array" ref="C14">_xlfn.SWITCH(WEEKDAY($D14, 2), 1, "Monday", 2, "Tuesday", 3, "Wednesday", 4, "Thursday", 5, "Friday", 6, "Saturday", 7, "Sunday")</f>
        <v>Monday</v>
      </c>
      <c r="D14">
        <f t="shared" si="0"/>
        <v>2</v>
      </c>
      <c r="E14" s="42">
        <f t="shared" si="2"/>
        <v>45481</v>
      </c>
      <c r="F14" s="15" t="s">
        <v>21</v>
      </c>
      <c r="G14" s="17">
        <f>IFERROR(
    IF($F14="N", $V$8,
        IF(OR(
            AND(Masterdata!$B$4&lt;&gt;DATE(1900,1,0), Masterdata!$B$4&lt;$E14),
            AND(Masterdata!$B$3&lt;&gt;DATE(1900,1,0), Masterdata!$B$3&gt;$E14)
        ),
        IF($H14&gt;=TIME(0,0,0), "Write in the next field", 0),
        IF($H14&gt;=TIME(0,0,0), "Write in the next field",
            IF($H14&gt;=0, 0,
                IF(OR($C14="Saturday", $C14="Sunday"), 0, 0)
            )
        )
    )),
"Write in the next field")</f>
        <v>0.30833333333333335</v>
      </c>
      <c r="H14" s="16">
        <v>0</v>
      </c>
      <c r="I14" s="16">
        <v>0</v>
      </c>
      <c r="J14" s="16">
        <v>0</v>
      </c>
      <c r="K14" s="63" t="str">
        <f>IF(F14="N","0:00",IF(
OR(
AND(Masterdata!$B$4&lt;&gt;DATE(1900,1,0),Masterdata!$B$4&lt;$E14),
AND(Masterdata!$B$3&lt;&gt;DATE(1900,1,0),Masterdata!$B$3&gt;$E14)
),
"0:00",
IF(
$H14&gt;TIME(0,0,0),
IF(
OR($C14="Saturday",$C14="Sunday"),
TEXT($H14,"[tt]:mm"),
IF($H14-$V$8&gt;=0,TEXT($H14-$V$8,"[tt]:mm"),"-"&amp;TEXT(ABS($H14-$V$8),"[tt]:mm"))
),
IF(
OR($C14="Saturday",$C14="Sunday"),
IF($J14-$I14&gt;=0,TEXT($J14-$I14,"[tt]:mm"),"-"&amp;TEXT(ABS($J14-$I14),"[tt]:mm")),
IFERROR(
IF($G14-$V$8=0,
IF($G14-$V$8&gt;=0,TEXT($G14-$V$8,"[tt]:mm"),"-"&amp;TEXT(ABS($G14-$V$8),"[tt]:mm")),
IF($J14-$I14&gt;=0,TEXT($J14-$I14,"[tt]:mm"),"-"&amp;TEXT(ABS($J14-$I14),"[tt]:mm"))
),
IF(
$J14-$I14-$V$8&gt;=0,
TEXT($J14-$I14-$V$8,"[tt]:mm"),
"-"&amp;TEXT(ABS($J14-$I14-$V$8),"[tt]:mm")
)
)
)
)
))</f>
        <v>0:00</v>
      </c>
      <c r="L14" s="54" t="str">
        <f t="shared" si="3"/>
        <v>0</v>
      </c>
      <c r="M14" s="58" t="str">
        <f t="shared" si="4"/>
        <v>0:</v>
      </c>
      <c r="N14" s="51" t="str">
        <f t="shared" si="5"/>
        <v>0</v>
      </c>
      <c r="O14" s="57">
        <f t="shared" si="6"/>
        <v>0</v>
      </c>
      <c r="P14" s="6">
        <f t="shared" si="7"/>
        <v>0</v>
      </c>
      <c r="Q14" s="69"/>
      <c r="S14" t="s">
        <v>46</v>
      </c>
      <c r="T14" t="s">
        <v>47</v>
      </c>
      <c r="U14" t="s">
        <v>48</v>
      </c>
      <c r="V14" s="6">
        <f>V9-V12</f>
        <v>160.33000000000001</v>
      </c>
    </row>
    <row r="15" spans="1:24" ht="15.75" x14ac:dyDescent="0.25">
      <c r="A15" s="12">
        <f t="shared" si="1"/>
        <v>28</v>
      </c>
      <c r="B15" s="13">
        <f t="shared" si="8"/>
        <v>45482</v>
      </c>
      <c r="C15" s="14" t="str" cm="1">
        <f t="array" ref="C15">_xlfn.SWITCH(WEEKDAY($D15, 2), 1, "Monday", 2, "Tuesday", 3, "Wednesday", 4, "Thursday", 5, "Friday", 6, "Saturday", 7, "Sunday")</f>
        <v>Tuesday</v>
      </c>
      <c r="D15">
        <f t="shared" si="0"/>
        <v>3</v>
      </c>
      <c r="E15" s="42">
        <f t="shared" si="2"/>
        <v>45482</v>
      </c>
      <c r="F15" s="15" t="s">
        <v>21</v>
      </c>
      <c r="G15" s="17">
        <f>IFERROR(
    IF($F15="N", $V$8,
        IF(OR(
            AND(Masterdata!$B$4&lt;&gt;DATE(1900,1,0), Masterdata!$B$4&lt;$E15),
            AND(Masterdata!$B$3&lt;&gt;DATE(1900,1,0), Masterdata!$B$3&gt;$E15)
        ),
        IF($H15&gt;=TIME(0,0,0), "Write in the next field", 0),
        IF($H15&gt;=TIME(0,0,0), "Write in the next field",
            IF($H15&gt;=0, 0,
                IF(OR($C15="Saturday", $C15="Sunday"), 0, 0)
            )
        )
    )),
"Write in the next field")</f>
        <v>0.30833333333333335</v>
      </c>
      <c r="H15" s="16">
        <v>0</v>
      </c>
      <c r="I15" s="16">
        <v>0</v>
      </c>
      <c r="J15" s="16">
        <v>0</v>
      </c>
      <c r="K15" s="63" t="str">
        <f>IF(F15="N","0:00",IF(
OR(
AND(Masterdata!$B$4&lt;&gt;DATE(1900,1,0),Masterdata!$B$4&lt;$E15),
AND(Masterdata!$B$3&lt;&gt;DATE(1900,1,0),Masterdata!$B$3&gt;$E15)
),
"0:00",
IF(
$H15&gt;TIME(0,0,0),
IF(
OR($C15="Saturday",$C15="Sunday"),
TEXT($H15,"[tt]:mm"),
IF($H15-$V$8&gt;=0,TEXT($H15-$V$8,"[tt]:mm"),"-"&amp;TEXT(ABS($H15-$V$8),"[tt]:mm"))
),
IF(
OR($C15="Saturday",$C15="Sunday"),
IF($J15-$I15&gt;=0,TEXT($J15-$I15,"[tt]:mm"),"-"&amp;TEXT(ABS($J15-$I15),"[tt]:mm")),
IFERROR(
IF($G15-$V$8=0,
IF($G15-$V$8&gt;=0,TEXT($G15-$V$8,"[tt]:mm"),"-"&amp;TEXT(ABS($G15-$V$8),"[tt]:mm")),
IF($J15-$I15&gt;=0,TEXT($J15-$I15,"[tt]:mm"),"-"&amp;TEXT(ABS($J15-$I15),"[tt]:mm"))
),
IF(
$J15-$I15-$V$8&gt;=0,
TEXT($J15-$I15-$V$8,"[tt]:mm"),
"-"&amp;TEXT(ABS($J15-$I15-$V$8),"[tt]:mm")
)
)
)
)
))</f>
        <v>0:00</v>
      </c>
      <c r="L15" s="54" t="str">
        <f t="shared" si="3"/>
        <v>0</v>
      </c>
      <c r="M15" s="58" t="str">
        <f t="shared" si="4"/>
        <v>0:</v>
      </c>
      <c r="N15" s="51" t="str">
        <f t="shared" si="5"/>
        <v>0</v>
      </c>
      <c r="O15" s="57">
        <f t="shared" si="6"/>
        <v>0</v>
      </c>
      <c r="P15" s="6">
        <f t="shared" si="7"/>
        <v>0</v>
      </c>
      <c r="Q15" s="69"/>
      <c r="S15" t="s">
        <v>49</v>
      </c>
      <c r="T15" t="s">
        <v>50</v>
      </c>
      <c r="U15" t="s">
        <v>51</v>
      </c>
      <c r="V15" s="6" t="e">
        <f>SUM(#REF!)</f>
        <v>#REF!</v>
      </c>
    </row>
    <row r="16" spans="1:24" ht="15.75" x14ac:dyDescent="0.25">
      <c r="A16" s="12">
        <f t="shared" si="1"/>
        <v>28</v>
      </c>
      <c r="B16" s="13">
        <f t="shared" si="8"/>
        <v>45483</v>
      </c>
      <c r="C16" s="14" t="str" cm="1">
        <f t="array" ref="C16">_xlfn.SWITCH(WEEKDAY($D16, 2), 1, "Monday", 2, "Tuesday", 3, "Wednesday", 4, "Thursday", 5, "Friday", 6, "Saturday", 7, "Sunday")</f>
        <v>Wednesday</v>
      </c>
      <c r="D16">
        <f t="shared" si="0"/>
        <v>4</v>
      </c>
      <c r="E16" s="42">
        <f t="shared" si="2"/>
        <v>45483</v>
      </c>
      <c r="F16" s="15" t="s">
        <v>21</v>
      </c>
      <c r="G16" s="17">
        <f>IFERROR(
    IF($F16="N", $V$8,
        IF(OR(
            AND(Masterdata!$B$4&lt;&gt;DATE(1900,1,0), Masterdata!$B$4&lt;$E16),
            AND(Masterdata!$B$3&lt;&gt;DATE(1900,1,0), Masterdata!$B$3&gt;$E16)
        ),
        IF($H16&gt;=TIME(0,0,0), "Write in the next field", 0),
        IF($H16&gt;=TIME(0,0,0), "Write in the next field",
            IF($H16&gt;=0, 0,
                IF(OR($C16="Saturday", $C16="Sunday"), 0, 0)
            )
        )
    )),
"Write in the next field")</f>
        <v>0.30833333333333335</v>
      </c>
      <c r="H16" s="16">
        <v>0</v>
      </c>
      <c r="I16" s="16">
        <v>0</v>
      </c>
      <c r="J16" s="16">
        <v>0</v>
      </c>
      <c r="K16" s="63" t="str">
        <f>IF(F16="N","0:00",IF(
OR(
AND(Masterdata!$B$4&lt;&gt;DATE(1900,1,0),Masterdata!$B$4&lt;$E16),
AND(Masterdata!$B$3&lt;&gt;DATE(1900,1,0),Masterdata!$B$3&gt;$E16)
),
"0:00",
IF(
$H16&gt;TIME(0,0,0),
IF(
OR($C16="Saturday",$C16="Sunday"),
TEXT($H16,"[tt]:mm"),
IF($H16-$V$8&gt;=0,TEXT($H16-$V$8,"[tt]:mm"),"-"&amp;TEXT(ABS($H16-$V$8),"[tt]:mm"))
),
IF(
OR($C16="Saturday",$C16="Sunday"),
IF($J16-$I16&gt;=0,TEXT($J16-$I16,"[tt]:mm"),"-"&amp;TEXT(ABS($J16-$I16),"[tt]:mm")),
IFERROR(
IF($G16-$V$8=0,
IF($G16-$V$8&gt;=0,TEXT($G16-$V$8,"[tt]:mm"),"-"&amp;TEXT(ABS($G16-$V$8),"[tt]:mm")),
IF($J16-$I16&gt;=0,TEXT($J16-$I16,"[tt]:mm"),"-"&amp;TEXT(ABS($J16-$I16),"[tt]:mm"))
),
IF(
$J16-$I16-$V$8&gt;=0,
TEXT($J16-$I16-$V$8,"[tt]:mm"),
"-"&amp;TEXT(ABS($J16-$I16-$V$8),"[tt]:mm")
)
)
)
)
))</f>
        <v>0:00</v>
      </c>
      <c r="L16" s="54" t="str">
        <f t="shared" si="3"/>
        <v>0</v>
      </c>
      <c r="M16" s="58" t="str">
        <f t="shared" si="4"/>
        <v>0:</v>
      </c>
      <c r="N16" s="51" t="str">
        <f t="shared" si="5"/>
        <v>0</v>
      </c>
      <c r="O16" s="57">
        <f t="shared" si="6"/>
        <v>0</v>
      </c>
      <c r="P16" s="6">
        <f t="shared" si="7"/>
        <v>0</v>
      </c>
      <c r="Q16" s="69"/>
      <c r="S16" t="s">
        <v>23</v>
      </c>
      <c r="T16" t="s">
        <v>52</v>
      </c>
      <c r="U16" t="s">
        <v>53</v>
      </c>
      <c r="V16" s="6" t="e">
        <f>V14-V15</f>
        <v>#REF!</v>
      </c>
    </row>
    <row r="17" spans="1:21" ht="15.75" x14ac:dyDescent="0.25">
      <c r="A17" s="12">
        <f t="shared" si="1"/>
        <v>28</v>
      </c>
      <c r="B17" s="13">
        <f t="shared" si="8"/>
        <v>45484</v>
      </c>
      <c r="C17" s="14" t="str" cm="1">
        <f t="array" ref="C17">_xlfn.SWITCH(WEEKDAY($D17, 2), 1, "Monday", 2, "Tuesday", 3, "Wednesday", 4, "Thursday", 5, "Friday", 6, "Saturday", 7, "Sunday")</f>
        <v>Thursday</v>
      </c>
      <c r="D17">
        <f t="shared" si="0"/>
        <v>5</v>
      </c>
      <c r="E17" s="42">
        <f t="shared" si="2"/>
        <v>45484</v>
      </c>
      <c r="F17" s="15" t="s">
        <v>21</v>
      </c>
      <c r="G17" s="17">
        <f>IFERROR(
    IF($F17="N", $V$8,
        IF(OR(
            AND(Masterdata!$B$4&lt;&gt;DATE(1900,1,0), Masterdata!$B$4&lt;$E17),
            AND(Masterdata!$B$3&lt;&gt;DATE(1900,1,0), Masterdata!$B$3&gt;$E17)
        ),
        IF($H17&gt;=TIME(0,0,0), "Write in the next field", 0),
        IF($H17&gt;=TIME(0,0,0), "Write in the next field",
            IF($H17&gt;=0, 0,
                IF(OR($C17="Saturday", $C17="Sunday"), 0, 0)
            )
        )
    )),
"Write in the next field")</f>
        <v>0.30833333333333335</v>
      </c>
      <c r="H17" s="16">
        <v>0</v>
      </c>
      <c r="I17" s="16">
        <v>0</v>
      </c>
      <c r="J17" s="16">
        <v>0</v>
      </c>
      <c r="K17" s="63" t="str">
        <f>IF(F17="N","0:00",IF(
OR(
AND(Masterdata!$B$4&lt;&gt;DATE(1900,1,0),Masterdata!$B$4&lt;$E17),
AND(Masterdata!$B$3&lt;&gt;DATE(1900,1,0),Masterdata!$B$3&gt;$E17)
),
"0:00",
IF(
$H17&gt;TIME(0,0,0),
IF(
OR($C17="Saturday",$C17="Sunday"),
TEXT($H17,"[tt]:mm"),
IF($H17-$V$8&gt;=0,TEXT($H17-$V$8,"[tt]:mm"),"-"&amp;TEXT(ABS($H17-$V$8),"[tt]:mm"))
),
IF(
OR($C17="Saturday",$C17="Sunday"),
IF($J17-$I17&gt;=0,TEXT($J17-$I17,"[tt]:mm"),"-"&amp;TEXT(ABS($J17-$I17),"[tt]:mm")),
IFERROR(
IF($G17-$V$8=0,
IF($G17-$V$8&gt;=0,TEXT($G17-$V$8,"[tt]:mm"),"-"&amp;TEXT(ABS($G17-$V$8),"[tt]:mm")),
IF($J17-$I17&gt;=0,TEXT($J17-$I17,"[tt]:mm"),"-"&amp;TEXT(ABS($J17-$I17),"[tt]:mm"))
),
IF(
$J17-$I17-$V$8&gt;=0,
TEXT($J17-$I17-$V$8,"[tt]:mm"),
"-"&amp;TEXT(ABS($J17-$I17-$V$8),"[tt]:mm")
)
)
)
)
))</f>
        <v>0:00</v>
      </c>
      <c r="L17" s="54" t="str">
        <f t="shared" si="3"/>
        <v>0</v>
      </c>
      <c r="M17" s="58" t="str">
        <f t="shared" si="4"/>
        <v>0:</v>
      </c>
      <c r="N17" s="51" t="str">
        <f t="shared" si="5"/>
        <v>0</v>
      </c>
      <c r="O17" s="57">
        <f t="shared" si="6"/>
        <v>0</v>
      </c>
      <c r="P17" s="6">
        <f t="shared" si="7"/>
        <v>0</v>
      </c>
      <c r="Q17" s="69"/>
      <c r="U17" s="42"/>
    </row>
    <row r="18" spans="1:21" ht="15.75" x14ac:dyDescent="0.25">
      <c r="A18" s="12">
        <f t="shared" si="1"/>
        <v>28</v>
      </c>
      <c r="B18" s="13">
        <f t="shared" si="8"/>
        <v>45485</v>
      </c>
      <c r="C18" s="14" t="str" cm="1">
        <f t="array" ref="C18">_xlfn.SWITCH(WEEKDAY($D18, 2), 1, "Monday", 2, "Tuesday", 3, "Wednesday", 4, "Thursday", 5, "Friday", 6, "Saturday", 7, "Sunday")</f>
        <v>Friday</v>
      </c>
      <c r="D18">
        <f t="shared" si="0"/>
        <v>6</v>
      </c>
      <c r="E18" s="42">
        <f t="shared" si="2"/>
        <v>45485</v>
      </c>
      <c r="F18" s="15" t="s">
        <v>21</v>
      </c>
      <c r="G18" s="17">
        <f>IFERROR(
    IF($F18="N", $V$8,
        IF(OR(
            AND(Masterdata!$B$4&lt;&gt;DATE(1900,1,0), Masterdata!$B$4&lt;$E18),
            AND(Masterdata!$B$3&lt;&gt;DATE(1900,1,0), Masterdata!$B$3&gt;$E18)
        ),
        IF($H18&gt;=TIME(0,0,0), "Write in the next field", 0),
        IF($H18&gt;=TIME(0,0,0), "Write in the next field",
            IF($H18&gt;=0, 0,
                IF(OR($C18="Saturday", $C18="Sunday"), 0, 0)
            )
        )
    )),
"Write in the next field")</f>
        <v>0.30833333333333335</v>
      </c>
      <c r="H18" s="16">
        <v>0</v>
      </c>
      <c r="I18" s="16">
        <v>0</v>
      </c>
      <c r="J18" s="16">
        <v>0</v>
      </c>
      <c r="K18" s="63" t="str">
        <f>IF(F18="N","0:00",IF(
OR(
AND(Masterdata!$B$4&lt;&gt;DATE(1900,1,0),Masterdata!$B$4&lt;$E18),
AND(Masterdata!$B$3&lt;&gt;DATE(1900,1,0),Masterdata!$B$3&gt;$E18)
),
"0:00",
IF(
$H18&gt;TIME(0,0,0),
IF(
OR($C18="Saturday",$C18="Sunday"),
TEXT($H18,"[tt]:mm"),
IF($H18-$V$8&gt;=0,TEXT($H18-$V$8,"[tt]:mm"),"-"&amp;TEXT(ABS($H18-$V$8),"[tt]:mm"))
),
IF(
OR($C18="Saturday",$C18="Sunday"),
IF($J18-$I18&gt;=0,TEXT($J18-$I18,"[tt]:mm"),"-"&amp;TEXT(ABS($J18-$I18),"[tt]:mm")),
IFERROR(
IF($G18-$V$8=0,
IF($G18-$V$8&gt;=0,TEXT($G18-$V$8,"[tt]:mm"),"-"&amp;TEXT(ABS($G18-$V$8),"[tt]:mm")),
IF($J18-$I18&gt;=0,TEXT($J18-$I18,"[tt]:mm"),"-"&amp;TEXT(ABS($J18-$I18),"[tt]:mm"))
),
IF(
$J18-$I18-$V$8&gt;=0,
TEXT($J18-$I18-$V$8,"[tt]:mm"),
"-"&amp;TEXT(ABS($J18-$I18-$V$8),"[tt]:mm")
)
)
)
)
))</f>
        <v>0:00</v>
      </c>
      <c r="L18" s="54" t="str">
        <f t="shared" si="3"/>
        <v>0</v>
      </c>
      <c r="M18" s="58" t="str">
        <f t="shared" si="4"/>
        <v>0:</v>
      </c>
      <c r="N18" s="51" t="str">
        <f t="shared" si="5"/>
        <v>0</v>
      </c>
      <c r="O18" s="57">
        <f t="shared" si="6"/>
        <v>0</v>
      </c>
      <c r="P18" s="6">
        <f t="shared" si="7"/>
        <v>0</v>
      </c>
      <c r="Q18" s="69"/>
      <c r="R18" s="52"/>
    </row>
    <row r="19" spans="1:21" ht="15.75" x14ac:dyDescent="0.25">
      <c r="A19" s="12">
        <f t="shared" si="1"/>
        <v>28</v>
      </c>
      <c r="B19" s="13">
        <f t="shared" si="8"/>
        <v>45486</v>
      </c>
      <c r="C19" s="14" t="str" cm="1">
        <f t="array" ref="C19">_xlfn.SWITCH(WEEKDAY($D19, 2), 1, "Monday", 2, "Tuesday", 3, "Wednesday", 4, "Thursday", 5, "Friday", 6, "Saturday", 7, "Sunday")</f>
        <v>Saturday</v>
      </c>
      <c r="D19">
        <f t="shared" si="0"/>
        <v>7</v>
      </c>
      <c r="E19" s="42">
        <f t="shared" si="2"/>
        <v>45486</v>
      </c>
      <c r="F19" s="15" t="s">
        <v>21</v>
      </c>
      <c r="G19" s="17">
        <f>IF($F19="N",0,"Write in the next field")</f>
        <v>0</v>
      </c>
      <c r="H19" s="16">
        <v>0</v>
      </c>
      <c r="I19" s="16">
        <v>0</v>
      </c>
      <c r="J19" s="16">
        <v>0</v>
      </c>
      <c r="K19" s="63" t="str">
        <f>IF(F19="N","0:00",IF(
OR(
AND(Masterdata!$B$4&lt;&gt;DATE(1900,1,0),Masterdata!$B$4&lt;$E19),
AND(Masterdata!$B$3&lt;&gt;DATE(1900,1,0),Masterdata!$B$3&gt;$E19)
),
"0:00",
IF(
$H19&gt;TIME(0,0,0),
IF(
OR($C19="Saturday",$C19="Sunday"),
TEXT($H19,"[tt]:mm"),
IF($H19-$V$8&gt;=0,TEXT($H19-$V$8,"[tt]:mm"),"-"&amp;TEXT(ABS($H19-$V$8),"[tt]:mm"))
),
IF(
OR($C19="Saturday",$C19="Sunday"),
IF($J19-$I19&gt;=0,TEXT($J19-$I19,"[tt]:mm"),"-"&amp;TEXT(ABS($J19-$I19),"[tt]:mm")),
IFERROR(
IF($G19-$V$8=0,
IF($G19-$V$8&gt;=0,TEXT($G19-$V$8,"[tt]:mm"),"-"&amp;TEXT(ABS($G19-$V$8),"[tt]:mm")),
IF($J19-$I19&gt;=0,TEXT($J19-$I19,"[tt]:mm"),"-"&amp;TEXT(ABS($J19-$I19),"[tt]:mm"))
),
IF(
$J19-$I19-$V$8&gt;=0,
TEXT($J19-$I19-$V$8,"[tt]:mm"),
"-"&amp;TEXT(ABS($J19-$I19-$V$8),"[tt]:mm")
)
)
)
)
))</f>
        <v>0:00</v>
      </c>
      <c r="L19" s="54" t="str">
        <f t="shared" si="3"/>
        <v>0</v>
      </c>
      <c r="M19" s="58" t="str">
        <f t="shared" si="4"/>
        <v>0:</v>
      </c>
      <c r="N19" s="51" t="str">
        <f t="shared" si="5"/>
        <v>0</v>
      </c>
      <c r="O19" s="57">
        <f t="shared" si="6"/>
        <v>0</v>
      </c>
      <c r="P19" s="6">
        <f t="shared" si="7"/>
        <v>0</v>
      </c>
      <c r="Q19" s="69"/>
    </row>
    <row r="20" spans="1:21" ht="15.75" x14ac:dyDescent="0.25">
      <c r="A20" s="12">
        <f t="shared" si="1"/>
        <v>28</v>
      </c>
      <c r="B20" s="13">
        <f t="shared" si="8"/>
        <v>45487</v>
      </c>
      <c r="C20" s="14" t="str" cm="1">
        <f t="array" ref="C20">_xlfn.SWITCH(WEEKDAY($D20, 2), 1, "Monday", 2, "Tuesday", 3, "Wednesday", 4, "Thursday", 5, "Friday", 6, "Saturday", 7, "Sunday")</f>
        <v>Sunday</v>
      </c>
      <c r="D20">
        <f t="shared" si="0"/>
        <v>8</v>
      </c>
      <c r="E20" s="42">
        <f t="shared" si="2"/>
        <v>45487</v>
      </c>
      <c r="F20" s="15" t="s">
        <v>21</v>
      </c>
      <c r="G20" s="17">
        <f>IF($F20="N",0,"Write in the next field")</f>
        <v>0</v>
      </c>
      <c r="H20" s="16">
        <v>0</v>
      </c>
      <c r="I20" s="16">
        <v>0</v>
      </c>
      <c r="J20" s="16">
        <v>0</v>
      </c>
      <c r="K20" s="63" t="str">
        <f>IF(F20="N","0:00",IF(
OR(
AND(Masterdata!$B$4&lt;&gt;DATE(1900,1,0),Masterdata!$B$4&lt;$E20),
AND(Masterdata!$B$3&lt;&gt;DATE(1900,1,0),Masterdata!$B$3&gt;$E20)
),
"0:00",
IF(
$H20&gt;TIME(0,0,0),
IF(
OR($C20="Saturday",$C20="Sunday"),
TEXT($H20,"[tt]:mm"),
IF($H20-$V$8&gt;=0,TEXT($H20-$V$8,"[tt]:mm"),"-"&amp;TEXT(ABS($H20-$V$8),"[tt]:mm"))
),
IF(
OR($C20="Saturday",$C20="Sunday"),
IF($J20-$I20&gt;=0,TEXT($J20-$I20,"[tt]:mm"),"-"&amp;TEXT(ABS($J20-$I20),"[tt]:mm")),
IFERROR(
IF($G20-$V$8=0,
IF($G20-$V$8&gt;=0,TEXT($G20-$V$8,"[tt]:mm"),"-"&amp;TEXT(ABS($G20-$V$8),"[tt]:mm")),
IF($J20-$I20&gt;=0,TEXT($J20-$I20,"[tt]:mm"),"-"&amp;TEXT(ABS($J20-$I20),"[tt]:mm"))
),
IF(
$J20-$I20-$V$8&gt;=0,
TEXT($J20-$I20-$V$8,"[tt]:mm"),
"-"&amp;TEXT(ABS($J20-$I20-$V$8),"[tt]:mm")
)
)
)
)
))</f>
        <v>0:00</v>
      </c>
      <c r="L20" s="54" t="str">
        <f t="shared" si="3"/>
        <v>0</v>
      </c>
      <c r="M20" s="58" t="str">
        <f t="shared" si="4"/>
        <v>0:</v>
      </c>
      <c r="N20" s="51" t="str">
        <f t="shared" si="5"/>
        <v>0</v>
      </c>
      <c r="O20" s="57">
        <f t="shared" si="6"/>
        <v>0</v>
      </c>
      <c r="P20" s="6">
        <f t="shared" si="7"/>
        <v>0</v>
      </c>
      <c r="Q20" s="69"/>
    </row>
    <row r="21" spans="1:21" ht="15.75" x14ac:dyDescent="0.25">
      <c r="A21" s="12">
        <f t="shared" si="1"/>
        <v>29</v>
      </c>
      <c r="B21" s="13">
        <f t="shared" si="8"/>
        <v>45488</v>
      </c>
      <c r="C21" s="14" t="str" cm="1">
        <f t="array" ref="C21">_xlfn.SWITCH(WEEKDAY($D21, 2), 1, "Monday", 2, "Tuesday", 3, "Wednesday", 4, "Thursday", 5, "Friday", 6, "Saturday", 7, "Sunday")</f>
        <v>Monday</v>
      </c>
      <c r="D21">
        <f t="shared" si="0"/>
        <v>2</v>
      </c>
      <c r="E21" s="42">
        <f t="shared" si="2"/>
        <v>45488</v>
      </c>
      <c r="F21" s="15" t="s">
        <v>21</v>
      </c>
      <c r="G21" s="17">
        <f>IFERROR(
    IF($F21="N", $V$8,
        IF(OR(
            AND(Masterdata!$B$4&lt;&gt;DATE(1900,1,0), Masterdata!$B$4&lt;$E21),
            AND(Masterdata!$B$3&lt;&gt;DATE(1900,1,0), Masterdata!$B$3&gt;$E21)
        ),
        IF($H21&gt;=TIME(0,0,0), "Write in the next field", 0),
        IF($H21&gt;=TIME(0,0,0), "Write in the next field",
            IF($H21&gt;=0, 0,
                IF(OR($C21="Saturday", $C21="Sunday"), 0, 0)
            )
        )
    )),
"Write in the next field")</f>
        <v>0.30833333333333335</v>
      </c>
      <c r="H21" s="16">
        <v>0</v>
      </c>
      <c r="I21" s="16">
        <v>0</v>
      </c>
      <c r="J21" s="16">
        <v>0</v>
      </c>
      <c r="K21" s="63" t="str">
        <f>IF(F21="N","0:00",IF(
OR(
AND(Masterdata!$B$4&lt;&gt;DATE(1900,1,0),Masterdata!$B$4&lt;$E21),
AND(Masterdata!$B$3&lt;&gt;DATE(1900,1,0),Masterdata!$B$3&gt;$E21)
),
"0:00",
IF(
$H21&gt;TIME(0,0,0),
IF(
OR($C21="Saturday",$C21="Sunday"),
TEXT($H21,"[tt]:mm"),
IF($H21-$V$8&gt;=0,TEXT($H21-$V$8,"[tt]:mm"),"-"&amp;TEXT(ABS($H21-$V$8),"[tt]:mm"))
),
IF(
OR($C21="Saturday",$C21="Sunday"),
IF($J21-$I21&gt;=0,TEXT($J21-$I21,"[tt]:mm"),"-"&amp;TEXT(ABS($J21-$I21),"[tt]:mm")),
IFERROR(
IF($G21-$V$8=0,
IF($G21-$V$8&gt;=0,TEXT($G21-$V$8,"[tt]:mm"),"-"&amp;TEXT(ABS($G21-$V$8),"[tt]:mm")),
IF($J21-$I21&gt;=0,TEXT($J21-$I21,"[tt]:mm"),"-"&amp;TEXT(ABS($J21-$I21),"[tt]:mm"))
),
IF(
$J21-$I21-$V$8&gt;=0,
TEXT($J21-$I21-$V$8,"[tt]:mm"),
"-"&amp;TEXT(ABS($J21-$I21-$V$8),"[tt]:mm")
)
)
)
)
))</f>
        <v>0:00</v>
      </c>
      <c r="L21" s="54" t="str">
        <f t="shared" si="3"/>
        <v>0</v>
      </c>
      <c r="M21" s="58" t="str">
        <f t="shared" si="4"/>
        <v>0:</v>
      </c>
      <c r="N21" s="51" t="str">
        <f t="shared" si="5"/>
        <v>0</v>
      </c>
      <c r="O21" s="57">
        <f t="shared" si="6"/>
        <v>0</v>
      </c>
      <c r="P21" s="6">
        <f t="shared" si="7"/>
        <v>0</v>
      </c>
      <c r="Q21" s="69"/>
    </row>
    <row r="22" spans="1:21" ht="15.75" x14ac:dyDescent="0.25">
      <c r="A22" s="12">
        <f t="shared" si="1"/>
        <v>29</v>
      </c>
      <c r="B22" s="13">
        <f t="shared" si="8"/>
        <v>45489</v>
      </c>
      <c r="C22" s="14" t="str" cm="1">
        <f t="array" ref="C22">_xlfn.SWITCH(WEEKDAY($D22, 2), 1, "Monday", 2, "Tuesday", 3, "Wednesday", 4, "Thursday", 5, "Friday", 6, "Saturday", 7, "Sunday")</f>
        <v>Tuesday</v>
      </c>
      <c r="D22">
        <f t="shared" si="0"/>
        <v>3</v>
      </c>
      <c r="E22" s="42">
        <f t="shared" si="2"/>
        <v>45489</v>
      </c>
      <c r="F22" s="15" t="s">
        <v>21</v>
      </c>
      <c r="G22" s="17">
        <f>IFERROR(
    IF($F22="N", $V$8,
        IF(OR(
            AND(Masterdata!$B$4&lt;&gt;DATE(1900,1,0), Masterdata!$B$4&lt;$E22),
            AND(Masterdata!$B$3&lt;&gt;DATE(1900,1,0), Masterdata!$B$3&gt;$E22)
        ),
        IF($H22&gt;=TIME(0,0,0), "Write in the next field", 0),
        IF($H22&gt;=TIME(0,0,0), "Write in the next field",
            IF($H22&gt;=0, 0,
                IF(OR($C22="Saturday", $C22="Sunday"), 0, 0)
            )
        )
    )),
"Write in the next field")</f>
        <v>0.30833333333333335</v>
      </c>
      <c r="H22" s="16">
        <v>0</v>
      </c>
      <c r="I22" s="16">
        <v>0</v>
      </c>
      <c r="J22" s="16">
        <v>0</v>
      </c>
      <c r="K22" s="63" t="str">
        <f>IF(F22="N","0:00",IF(
OR(
AND(Masterdata!$B$4&lt;&gt;DATE(1900,1,0),Masterdata!$B$4&lt;$E22),
AND(Masterdata!$B$3&lt;&gt;DATE(1900,1,0),Masterdata!$B$3&gt;$E22)
),
"0:00",
IF(
$H22&gt;TIME(0,0,0),
IF(
OR($C22="Saturday",$C22="Sunday"),
TEXT($H22,"[tt]:mm"),
IF($H22-$V$8&gt;=0,TEXT($H22-$V$8,"[tt]:mm"),"-"&amp;TEXT(ABS($H22-$V$8),"[tt]:mm"))
),
IF(
OR($C22="Saturday",$C22="Sunday"),
IF($J22-$I22&gt;=0,TEXT($J22-$I22,"[tt]:mm"),"-"&amp;TEXT(ABS($J22-$I22),"[tt]:mm")),
IFERROR(
IF($G22-$V$8=0,
IF($G22-$V$8&gt;=0,TEXT($G22-$V$8,"[tt]:mm"),"-"&amp;TEXT(ABS($G22-$V$8),"[tt]:mm")),
IF($J22-$I22&gt;=0,TEXT($J22-$I22,"[tt]:mm"),"-"&amp;TEXT(ABS($J22-$I22),"[tt]:mm"))
),
IF(
$J22-$I22-$V$8&gt;=0,
TEXT($J22-$I22-$V$8,"[tt]:mm"),
"-"&amp;TEXT(ABS($J22-$I22-$V$8),"[tt]:mm")
)
)
)
)
))</f>
        <v>0:00</v>
      </c>
      <c r="L22" s="54" t="str">
        <f t="shared" si="3"/>
        <v>0</v>
      </c>
      <c r="M22" s="58" t="str">
        <f t="shared" si="4"/>
        <v>0:</v>
      </c>
      <c r="N22" s="51" t="str">
        <f t="shared" si="5"/>
        <v>0</v>
      </c>
      <c r="O22" s="57">
        <f t="shared" si="6"/>
        <v>0</v>
      </c>
      <c r="P22" s="6">
        <f t="shared" si="7"/>
        <v>0</v>
      </c>
      <c r="Q22" s="69"/>
    </row>
    <row r="23" spans="1:21" ht="15.75" x14ac:dyDescent="0.25">
      <c r="A23" s="12">
        <f t="shared" si="1"/>
        <v>29</v>
      </c>
      <c r="B23" s="13">
        <f t="shared" si="8"/>
        <v>45490</v>
      </c>
      <c r="C23" s="14" t="str" cm="1">
        <f t="array" ref="C23">_xlfn.SWITCH(WEEKDAY($D23, 2), 1, "Monday", 2, "Tuesday", 3, "Wednesday", 4, "Thursday", 5, "Friday", 6, "Saturday", 7, "Sunday")</f>
        <v>Wednesday</v>
      </c>
      <c r="D23">
        <f t="shared" si="0"/>
        <v>4</v>
      </c>
      <c r="E23" s="42">
        <f t="shared" si="2"/>
        <v>45490</v>
      </c>
      <c r="F23" s="15" t="s">
        <v>21</v>
      </c>
      <c r="G23" s="17">
        <f>IFERROR(
    IF($F23="N", $V$8,
        IF(OR(
            AND(Masterdata!$B$4&lt;&gt;DATE(1900,1,0), Masterdata!$B$4&lt;$E23),
            AND(Masterdata!$B$3&lt;&gt;DATE(1900,1,0), Masterdata!$B$3&gt;$E23)
        ),
        IF($H23&gt;=TIME(0,0,0), "Write in the next field", 0),
        IF($H23&gt;=TIME(0,0,0), "Write in the next field",
            IF($H23&gt;=0, 0,
                IF(OR($C23="Saturday", $C23="Sunday"), 0, 0)
            )
        )
    )),
"Write in the next field")</f>
        <v>0.30833333333333335</v>
      </c>
      <c r="H23" s="16">
        <v>0</v>
      </c>
      <c r="I23" s="16">
        <v>0</v>
      </c>
      <c r="J23" s="16">
        <v>0</v>
      </c>
      <c r="K23" s="63" t="str">
        <f>IF(F23="N","0:00",IF(
OR(
AND(Masterdata!$B$4&lt;&gt;DATE(1900,1,0),Masterdata!$B$4&lt;$E23),
AND(Masterdata!$B$3&lt;&gt;DATE(1900,1,0),Masterdata!$B$3&gt;$E23)
),
"0:00",
IF(
$H23&gt;TIME(0,0,0),
IF(
OR($C23="Saturday",$C23="Sunday"),
TEXT($H23,"[tt]:mm"),
IF($H23-$V$8&gt;=0,TEXT($H23-$V$8,"[tt]:mm"),"-"&amp;TEXT(ABS($H23-$V$8),"[tt]:mm"))
),
IF(
OR($C23="Saturday",$C23="Sunday"),
IF($J23-$I23&gt;=0,TEXT($J23-$I23,"[tt]:mm"),"-"&amp;TEXT(ABS($J23-$I23),"[tt]:mm")),
IFERROR(
IF($G23-$V$8=0,
IF($G23-$V$8&gt;=0,TEXT($G23-$V$8,"[tt]:mm"),"-"&amp;TEXT(ABS($G23-$V$8),"[tt]:mm")),
IF($J23-$I23&gt;=0,TEXT($J23-$I23,"[tt]:mm"),"-"&amp;TEXT(ABS($J23-$I23),"[tt]:mm"))
),
IF(
$J23-$I23-$V$8&gt;=0,
TEXT($J23-$I23-$V$8,"[tt]:mm"),
"-"&amp;TEXT(ABS($J23-$I23-$V$8),"[tt]:mm")
)
)
)
)
))</f>
        <v>0:00</v>
      </c>
      <c r="L23" s="54" t="str">
        <f t="shared" si="3"/>
        <v>0</v>
      </c>
      <c r="M23" s="58" t="str">
        <f t="shared" si="4"/>
        <v>0:</v>
      </c>
      <c r="N23" s="51" t="str">
        <f t="shared" si="5"/>
        <v>0</v>
      </c>
      <c r="O23" s="57">
        <f t="shared" si="6"/>
        <v>0</v>
      </c>
      <c r="P23" s="6">
        <f t="shared" si="7"/>
        <v>0</v>
      </c>
      <c r="Q23" s="69"/>
    </row>
    <row r="24" spans="1:21" ht="15.75" x14ac:dyDescent="0.25">
      <c r="A24" s="12">
        <f t="shared" si="1"/>
        <v>29</v>
      </c>
      <c r="B24" s="13">
        <f t="shared" si="8"/>
        <v>45491</v>
      </c>
      <c r="C24" s="14" t="str" cm="1">
        <f t="array" ref="C24">_xlfn.SWITCH(WEEKDAY($D24, 2), 1, "Monday", 2, "Tuesday", 3, "Wednesday", 4, "Thursday", 5, "Friday", 6, "Saturday", 7, "Sunday")</f>
        <v>Thursday</v>
      </c>
      <c r="D24">
        <f t="shared" si="0"/>
        <v>5</v>
      </c>
      <c r="E24" s="42">
        <f t="shared" si="2"/>
        <v>45491</v>
      </c>
      <c r="F24" s="15" t="s">
        <v>21</v>
      </c>
      <c r="G24" s="17">
        <f>IFERROR(
    IF($F24="N", $V$8,
        IF(OR(
            AND(Masterdata!$B$4&lt;&gt;DATE(1900,1,0), Masterdata!$B$4&lt;$E24),
            AND(Masterdata!$B$3&lt;&gt;DATE(1900,1,0), Masterdata!$B$3&gt;$E24)
        ),
        IF($H24&gt;=TIME(0,0,0), "Write in the next field", 0),
        IF($H24&gt;=TIME(0,0,0), "Write in the next field",
            IF($H24&gt;=0, 0,
                IF(OR($C24="Saturday", $C24="Sunday"), 0, 0)
            )
        )
    )),
"Write in the next field")</f>
        <v>0.30833333333333335</v>
      </c>
      <c r="H24" s="16">
        <v>0</v>
      </c>
      <c r="I24" s="16">
        <v>0</v>
      </c>
      <c r="J24" s="16">
        <v>0</v>
      </c>
      <c r="K24" s="63" t="str">
        <f>IF(F24="N","0:00",IF(
OR(
AND(Masterdata!$B$4&lt;&gt;DATE(1900,1,0),Masterdata!$B$4&lt;$E24),
AND(Masterdata!$B$3&lt;&gt;DATE(1900,1,0),Masterdata!$B$3&gt;$E24)
),
"0:00",
IF(
$H24&gt;TIME(0,0,0),
IF(
OR($C24="Saturday",$C24="Sunday"),
TEXT($H24,"[tt]:mm"),
IF($H24-$V$8&gt;=0,TEXT($H24-$V$8,"[tt]:mm"),"-"&amp;TEXT(ABS($H24-$V$8),"[tt]:mm"))
),
IF(
OR($C24="Saturday",$C24="Sunday"),
IF($J24-$I24&gt;=0,TEXT($J24-$I24,"[tt]:mm"),"-"&amp;TEXT(ABS($J24-$I24),"[tt]:mm")),
IFERROR(
IF($G24-$V$8=0,
IF($G24-$V$8&gt;=0,TEXT($G24-$V$8,"[tt]:mm"),"-"&amp;TEXT(ABS($G24-$V$8),"[tt]:mm")),
IF($J24-$I24&gt;=0,TEXT($J24-$I24,"[tt]:mm"),"-"&amp;TEXT(ABS($J24-$I24),"[tt]:mm"))
),
IF(
$J24-$I24-$V$8&gt;=0,
TEXT($J24-$I24-$V$8,"[tt]:mm"),
"-"&amp;TEXT(ABS($J24-$I24-$V$8),"[tt]:mm")
)
)
)
)
))</f>
        <v>0:00</v>
      </c>
      <c r="L24" s="54" t="str">
        <f t="shared" si="3"/>
        <v>0</v>
      </c>
      <c r="M24" s="58" t="str">
        <f t="shared" si="4"/>
        <v>0:</v>
      </c>
      <c r="N24" s="51" t="str">
        <f t="shared" si="5"/>
        <v>0</v>
      </c>
      <c r="O24" s="57">
        <f t="shared" si="6"/>
        <v>0</v>
      </c>
      <c r="P24" s="6">
        <f t="shared" si="7"/>
        <v>0</v>
      </c>
      <c r="Q24" s="69"/>
    </row>
    <row r="25" spans="1:21" ht="15.75" x14ac:dyDescent="0.25">
      <c r="A25" s="12">
        <f t="shared" si="1"/>
        <v>29</v>
      </c>
      <c r="B25" s="13">
        <f t="shared" si="8"/>
        <v>45492</v>
      </c>
      <c r="C25" s="14" t="str" cm="1">
        <f t="array" ref="C25">_xlfn.SWITCH(WEEKDAY($D25, 2), 1, "Monday", 2, "Tuesday", 3, "Wednesday", 4, "Thursday", 5, "Friday", 6, "Saturday", 7, "Sunday")</f>
        <v>Friday</v>
      </c>
      <c r="D25">
        <f t="shared" si="0"/>
        <v>6</v>
      </c>
      <c r="E25" s="42">
        <f t="shared" si="2"/>
        <v>45492</v>
      </c>
      <c r="F25" s="15" t="s">
        <v>21</v>
      </c>
      <c r="G25" s="17">
        <f>IFERROR(
    IF($F25="N", $V$8,
        IF(OR(
            AND(Masterdata!$B$4&lt;&gt;DATE(1900,1,0), Masterdata!$B$4&lt;$E25),
            AND(Masterdata!$B$3&lt;&gt;DATE(1900,1,0), Masterdata!$B$3&gt;$E25)
        ),
        IF($H25&gt;=TIME(0,0,0), "Write in the next field", 0),
        IF($H25&gt;=TIME(0,0,0), "Write in the next field",
            IF($H25&gt;=0, 0,
                IF(OR($C25="Saturday", $C25="Sunday"), 0, 0)
            )
        )
    )),
"Write in the next field")</f>
        <v>0.30833333333333335</v>
      </c>
      <c r="H25" s="16">
        <v>0</v>
      </c>
      <c r="I25" s="16">
        <v>0</v>
      </c>
      <c r="J25" s="16">
        <v>0</v>
      </c>
      <c r="K25" s="63" t="str">
        <f>IF(F25="N","0:00",IF(
OR(
AND(Masterdata!$B$4&lt;&gt;DATE(1900,1,0),Masterdata!$B$4&lt;$E25),
AND(Masterdata!$B$3&lt;&gt;DATE(1900,1,0),Masterdata!$B$3&gt;$E25)
),
"0:00",
IF(
$H25&gt;TIME(0,0,0),
IF(
OR($C25="Saturday",$C25="Sunday"),
TEXT($H25,"[tt]:mm"),
IF($H25-$V$8&gt;=0,TEXT($H25-$V$8,"[tt]:mm"),"-"&amp;TEXT(ABS($H25-$V$8),"[tt]:mm"))
),
IF(
OR($C25="Saturday",$C25="Sunday"),
IF($J25-$I25&gt;=0,TEXT($J25-$I25,"[tt]:mm"),"-"&amp;TEXT(ABS($J25-$I25),"[tt]:mm")),
IFERROR(
IF($G25-$V$8=0,
IF($G25-$V$8&gt;=0,TEXT($G25-$V$8,"[tt]:mm"),"-"&amp;TEXT(ABS($G25-$V$8),"[tt]:mm")),
IF($J25-$I25&gt;=0,TEXT($J25-$I25,"[tt]:mm"),"-"&amp;TEXT(ABS($J25-$I25),"[tt]:mm"))
),
IF(
$J25-$I25-$V$8&gt;=0,
TEXT($J25-$I25-$V$8,"[tt]:mm"),
"-"&amp;TEXT(ABS($J25-$I25-$V$8),"[tt]:mm")
)
)
)
)
))</f>
        <v>0:00</v>
      </c>
      <c r="L25" s="54" t="str">
        <f t="shared" si="3"/>
        <v>0</v>
      </c>
      <c r="M25" s="58" t="str">
        <f t="shared" si="4"/>
        <v>0:</v>
      </c>
      <c r="N25" s="51" t="str">
        <f t="shared" si="5"/>
        <v>0</v>
      </c>
      <c r="O25" s="57">
        <f t="shared" si="6"/>
        <v>0</v>
      </c>
      <c r="P25" s="6">
        <f t="shared" si="7"/>
        <v>0</v>
      </c>
      <c r="Q25" s="69"/>
    </row>
    <row r="26" spans="1:21" ht="15.75" x14ac:dyDescent="0.25">
      <c r="A26" s="12">
        <f t="shared" si="1"/>
        <v>29</v>
      </c>
      <c r="B26" s="13">
        <f t="shared" si="8"/>
        <v>45493</v>
      </c>
      <c r="C26" s="14" t="str" cm="1">
        <f t="array" ref="C26">_xlfn.SWITCH(WEEKDAY($D26, 2), 1, "Monday", 2, "Tuesday", 3, "Wednesday", 4, "Thursday", 5, "Friday", 6, "Saturday", 7, "Sunday")</f>
        <v>Saturday</v>
      </c>
      <c r="D26">
        <f t="shared" si="0"/>
        <v>7</v>
      </c>
      <c r="E26" s="42">
        <f t="shared" si="2"/>
        <v>45493</v>
      </c>
      <c r="F26" s="15" t="s">
        <v>21</v>
      </c>
      <c r="G26" s="17">
        <f>IF($F26="N",0,"Write in the next field")</f>
        <v>0</v>
      </c>
      <c r="H26" s="16">
        <v>0</v>
      </c>
      <c r="I26" s="16">
        <v>0</v>
      </c>
      <c r="J26" s="16">
        <v>0</v>
      </c>
      <c r="K26" s="63" t="str">
        <f>IF(F26="N","0:00",IF(
OR(
AND(Masterdata!$B$4&lt;&gt;DATE(1900,1,0),Masterdata!$B$4&lt;$E26),
AND(Masterdata!$B$3&lt;&gt;DATE(1900,1,0),Masterdata!$B$3&gt;$E26)
),
"0:00",
IF(
$H26&gt;TIME(0,0,0),
IF(
OR($C26="Saturday",$C26="Sunday"),
TEXT($H26,"[tt]:mm"),
IF($H26-$V$8&gt;=0,TEXT($H26-$V$8,"[tt]:mm"),"-"&amp;TEXT(ABS($H26-$V$8),"[tt]:mm"))
),
IF(
OR($C26="Saturday",$C26="Sunday"),
IF($J26-$I26&gt;=0,TEXT($J26-$I26,"[tt]:mm"),"-"&amp;TEXT(ABS($J26-$I26),"[tt]:mm")),
IFERROR(
IF($G26-$V$8=0,
IF($G26-$V$8&gt;=0,TEXT($G26-$V$8,"[tt]:mm"),"-"&amp;TEXT(ABS($G26-$V$8),"[tt]:mm")),
IF($J26-$I26&gt;=0,TEXT($J26-$I26,"[tt]:mm"),"-"&amp;TEXT(ABS($J26-$I26),"[tt]:mm"))
),
IF(
$J26-$I26-$V$8&gt;=0,
TEXT($J26-$I26-$V$8,"[tt]:mm"),
"-"&amp;TEXT(ABS($J26-$I26-$V$8),"[tt]:mm")
)
)
)
)
))</f>
        <v>0:00</v>
      </c>
      <c r="L26" s="54" t="str">
        <f t="shared" si="3"/>
        <v>0</v>
      </c>
      <c r="M26" s="58" t="str">
        <f t="shared" si="4"/>
        <v>0:</v>
      </c>
      <c r="N26" s="51" t="str">
        <f t="shared" si="5"/>
        <v>0</v>
      </c>
      <c r="O26" s="57">
        <f t="shared" si="6"/>
        <v>0</v>
      </c>
      <c r="P26" s="6">
        <f t="shared" si="7"/>
        <v>0</v>
      </c>
      <c r="Q26" s="69"/>
    </row>
    <row r="27" spans="1:21" ht="15.75" x14ac:dyDescent="0.25">
      <c r="A27" s="12">
        <f t="shared" si="1"/>
        <v>29</v>
      </c>
      <c r="B27" s="13">
        <f t="shared" si="8"/>
        <v>45494</v>
      </c>
      <c r="C27" s="14" t="str" cm="1">
        <f t="array" ref="C27">_xlfn.SWITCH(WEEKDAY($D27, 2), 1, "Monday", 2, "Tuesday", 3, "Wednesday", 4, "Thursday", 5, "Friday", 6, "Saturday", 7, "Sunday")</f>
        <v>Sunday</v>
      </c>
      <c r="D27">
        <f t="shared" si="0"/>
        <v>8</v>
      </c>
      <c r="E27" s="42">
        <f t="shared" si="2"/>
        <v>45494</v>
      </c>
      <c r="F27" s="15" t="s">
        <v>21</v>
      </c>
      <c r="G27" s="17">
        <f>IF($F27="N",0,"Write in the next field")</f>
        <v>0</v>
      </c>
      <c r="H27" s="16">
        <v>0</v>
      </c>
      <c r="I27" s="16">
        <v>0</v>
      </c>
      <c r="J27" s="16">
        <v>0</v>
      </c>
      <c r="K27" s="63" t="str">
        <f>IF(F27="N","0:00",IF(
OR(
AND(Masterdata!$B$4&lt;&gt;DATE(1900,1,0),Masterdata!$B$4&lt;$E27),
AND(Masterdata!$B$3&lt;&gt;DATE(1900,1,0),Masterdata!$B$3&gt;$E27)
),
"0:00",
IF(
$H27&gt;TIME(0,0,0),
IF(
OR($C27="Saturday",$C27="Sunday"),
TEXT($H27,"[tt]:mm"),
IF($H27-$V$8&gt;=0,TEXT($H27-$V$8,"[tt]:mm"),"-"&amp;TEXT(ABS($H27-$V$8),"[tt]:mm"))
),
IF(
OR($C27="Saturday",$C27="Sunday"),
IF($J27-$I27&gt;=0,TEXT($J27-$I27,"[tt]:mm"),"-"&amp;TEXT(ABS($J27-$I27),"[tt]:mm")),
IFERROR(
IF($G27-$V$8=0,
IF($G27-$V$8&gt;=0,TEXT($G27-$V$8,"[tt]:mm"),"-"&amp;TEXT(ABS($G27-$V$8),"[tt]:mm")),
IF($J27-$I27&gt;=0,TEXT($J27-$I27,"[tt]:mm"),"-"&amp;TEXT(ABS($J27-$I27),"[tt]:mm"))
),
IF(
$J27-$I27-$V$8&gt;=0,
TEXT($J27-$I27-$V$8,"[tt]:mm"),
"-"&amp;TEXT(ABS($J27-$I27-$V$8),"[tt]:mm")
)
)
)
)
))</f>
        <v>0:00</v>
      </c>
      <c r="L27" s="54" t="str">
        <f t="shared" si="3"/>
        <v>0</v>
      </c>
      <c r="M27" s="58" t="str">
        <f t="shared" si="4"/>
        <v>0:</v>
      </c>
      <c r="N27" s="51" t="str">
        <f t="shared" si="5"/>
        <v>0</v>
      </c>
      <c r="O27" s="57">
        <f t="shared" si="6"/>
        <v>0</v>
      </c>
      <c r="P27" s="6">
        <f t="shared" si="7"/>
        <v>0</v>
      </c>
      <c r="Q27" s="69"/>
    </row>
    <row r="28" spans="1:21" ht="15.75" x14ac:dyDescent="0.25">
      <c r="A28" s="12">
        <f t="shared" si="1"/>
        <v>30</v>
      </c>
      <c r="B28" s="13">
        <f t="shared" si="8"/>
        <v>45495</v>
      </c>
      <c r="C28" s="14" t="str" cm="1">
        <f t="array" ref="C28">_xlfn.SWITCH(WEEKDAY($D28, 2), 1, "Monday", 2, "Tuesday", 3, "Wednesday", 4, "Thursday", 5, "Friday", 6, "Saturday", 7, "Sunday")</f>
        <v>Monday</v>
      </c>
      <c r="D28">
        <f t="shared" si="0"/>
        <v>2</v>
      </c>
      <c r="E28" s="42">
        <f t="shared" si="2"/>
        <v>45495</v>
      </c>
      <c r="F28" s="15" t="s">
        <v>21</v>
      </c>
      <c r="G28" s="17">
        <f>IFERROR(
    IF($F28="N", $V$8,
        IF(OR(
            AND(Masterdata!$B$4&lt;&gt;DATE(1900,1,0), Masterdata!$B$4&lt;$E28),
            AND(Masterdata!$B$3&lt;&gt;DATE(1900,1,0), Masterdata!$B$3&gt;$E28)
        ),
        IF($H28&gt;=TIME(0,0,0), "Write in the next field", 0),
        IF($H28&gt;=TIME(0,0,0), "Write in the next field",
            IF($H28&gt;=0, 0,
                IF(OR($C28="Saturday", $C28="Sunday"), 0, 0)
            )
        )
    )),
"Write in the next field")</f>
        <v>0.30833333333333335</v>
      </c>
      <c r="H28" s="16">
        <v>0</v>
      </c>
      <c r="I28" s="16">
        <v>0</v>
      </c>
      <c r="J28" s="16">
        <v>0</v>
      </c>
      <c r="K28" s="63" t="str">
        <f>IF(F28="N","0:00",IF(
OR(
AND(Masterdata!$B$4&lt;&gt;DATE(1900,1,0),Masterdata!$B$4&lt;$E28),
AND(Masterdata!$B$3&lt;&gt;DATE(1900,1,0),Masterdata!$B$3&gt;$E28)
),
"0:00",
IF(
$H28&gt;TIME(0,0,0),
IF(
OR($C28="Saturday",$C28="Sunday"),
TEXT($H28,"[tt]:mm"),
IF($H28-$V$8&gt;=0,TEXT($H28-$V$8,"[tt]:mm"),"-"&amp;TEXT(ABS($H28-$V$8),"[tt]:mm"))
),
IF(
OR($C28="Saturday",$C28="Sunday"),
IF($J28-$I28&gt;=0,TEXT($J28-$I28,"[tt]:mm"),"-"&amp;TEXT(ABS($J28-$I28),"[tt]:mm")),
IFERROR(
IF($G28-$V$8=0,
IF($G28-$V$8&gt;=0,TEXT($G28-$V$8,"[tt]:mm"),"-"&amp;TEXT(ABS($G28-$V$8),"[tt]:mm")),
IF($J28-$I28&gt;=0,TEXT($J28-$I28,"[tt]:mm"),"-"&amp;TEXT(ABS($J28-$I28),"[tt]:mm"))
),
IF(
$J28-$I28-$V$8&gt;=0,
TEXT($J28-$I28-$V$8,"[tt]:mm"),
"-"&amp;TEXT(ABS($J28-$I28-$V$8),"[tt]:mm")
)
)
)
)
))</f>
        <v>0:00</v>
      </c>
      <c r="L28" s="54" t="str">
        <f t="shared" si="3"/>
        <v>0</v>
      </c>
      <c r="M28" s="58" t="str">
        <f t="shared" si="4"/>
        <v>0:</v>
      </c>
      <c r="N28" s="51" t="str">
        <f t="shared" si="5"/>
        <v>0</v>
      </c>
      <c r="O28" s="57">
        <f t="shared" si="6"/>
        <v>0</v>
      </c>
      <c r="P28" s="6">
        <f t="shared" si="7"/>
        <v>0</v>
      </c>
      <c r="Q28" s="69"/>
    </row>
    <row r="29" spans="1:21" ht="15.75" x14ac:dyDescent="0.25">
      <c r="A29" s="12">
        <f t="shared" si="1"/>
        <v>30</v>
      </c>
      <c r="B29" s="13">
        <f t="shared" si="8"/>
        <v>45496</v>
      </c>
      <c r="C29" s="14" t="str" cm="1">
        <f t="array" ref="C29">_xlfn.SWITCH(WEEKDAY($D29, 2), 1, "Monday", 2, "Tuesday", 3, "Wednesday", 4, "Thursday", 5, "Friday", 6, "Saturday", 7, "Sunday")</f>
        <v>Tuesday</v>
      </c>
      <c r="D29">
        <f t="shared" si="0"/>
        <v>3</v>
      </c>
      <c r="E29" s="42">
        <f t="shared" si="2"/>
        <v>45496</v>
      </c>
      <c r="F29" s="15" t="s">
        <v>21</v>
      </c>
      <c r="G29" s="17">
        <f>IFERROR(
    IF($F29="N", $V$8,
        IF(OR(
            AND(Masterdata!$B$4&lt;&gt;DATE(1900,1,0), Masterdata!$B$4&lt;$E29),
            AND(Masterdata!$B$3&lt;&gt;DATE(1900,1,0), Masterdata!$B$3&gt;$E29)
        ),
        IF($H29&gt;=TIME(0,0,0), "Write in the next field", 0),
        IF($H29&gt;=TIME(0,0,0), "Write in the next field",
            IF($H29&gt;=0, 0,
                IF(OR($C29="Saturday", $C29="Sunday"), 0, 0)
            )
        )
    )),
"Write in the next field")</f>
        <v>0.30833333333333335</v>
      </c>
      <c r="H29" s="16">
        <v>0</v>
      </c>
      <c r="I29" s="16">
        <v>0</v>
      </c>
      <c r="J29" s="16">
        <v>0</v>
      </c>
      <c r="K29" s="63" t="str">
        <f>IF(F29="N","0:00",IF(
OR(
AND(Masterdata!$B$4&lt;&gt;DATE(1900,1,0),Masterdata!$B$4&lt;$E29),
AND(Masterdata!$B$3&lt;&gt;DATE(1900,1,0),Masterdata!$B$3&gt;$E29)
),
"0:00",
IF(
$H29&gt;TIME(0,0,0),
IF(
OR($C29="Saturday",$C29="Sunday"),
TEXT($H29,"[tt]:mm"),
IF($H29-$V$8&gt;=0,TEXT($H29-$V$8,"[tt]:mm"),"-"&amp;TEXT(ABS($H29-$V$8),"[tt]:mm"))
),
IF(
OR($C29="Saturday",$C29="Sunday"),
IF($J29-$I29&gt;=0,TEXT($J29-$I29,"[tt]:mm"),"-"&amp;TEXT(ABS($J29-$I29),"[tt]:mm")),
IFERROR(
IF($G29-$V$8=0,
IF($G29-$V$8&gt;=0,TEXT($G29-$V$8,"[tt]:mm"),"-"&amp;TEXT(ABS($G29-$V$8),"[tt]:mm")),
IF($J29-$I29&gt;=0,TEXT($J29-$I29,"[tt]:mm"),"-"&amp;TEXT(ABS($J29-$I29),"[tt]:mm"))
),
IF(
$J29-$I29-$V$8&gt;=0,
TEXT($J29-$I29-$V$8,"[tt]:mm"),
"-"&amp;TEXT(ABS($J29-$I29-$V$8),"[tt]:mm")
)
)
)
)
))</f>
        <v>0:00</v>
      </c>
      <c r="L29" s="54" t="str">
        <f t="shared" si="3"/>
        <v>0</v>
      </c>
      <c r="M29" s="58" t="str">
        <f t="shared" si="4"/>
        <v>0:</v>
      </c>
      <c r="N29" s="51" t="str">
        <f t="shared" si="5"/>
        <v>0</v>
      </c>
      <c r="O29" s="57">
        <f t="shared" si="6"/>
        <v>0</v>
      </c>
      <c r="P29" s="6">
        <f t="shared" si="7"/>
        <v>0</v>
      </c>
      <c r="Q29" s="69"/>
    </row>
    <row r="30" spans="1:21" ht="15.75" x14ac:dyDescent="0.25">
      <c r="A30" s="12">
        <f t="shared" si="1"/>
        <v>30</v>
      </c>
      <c r="B30" s="13">
        <f t="shared" si="8"/>
        <v>45497</v>
      </c>
      <c r="C30" s="14" t="str" cm="1">
        <f t="array" ref="C30">_xlfn.SWITCH(WEEKDAY($D30, 2), 1, "Monday", 2, "Tuesday", 3, "Wednesday", 4, "Thursday", 5, "Friday", 6, "Saturday", 7, "Sunday")</f>
        <v>Wednesday</v>
      </c>
      <c r="D30">
        <f t="shared" si="0"/>
        <v>4</v>
      </c>
      <c r="E30" s="42">
        <f t="shared" si="2"/>
        <v>45497</v>
      </c>
      <c r="F30" s="15" t="s">
        <v>21</v>
      </c>
      <c r="G30" s="17">
        <f>IFERROR(
    IF($F30="N", $V$8,
        IF(OR(
            AND(Masterdata!$B$4&lt;&gt;DATE(1900,1,0), Masterdata!$B$4&lt;$E30),
            AND(Masterdata!$B$3&lt;&gt;DATE(1900,1,0), Masterdata!$B$3&gt;$E30)
        ),
        IF($H30&gt;=TIME(0,0,0), "Write in the next field", 0),
        IF($H30&gt;=TIME(0,0,0), "Write in the next field",
            IF($H30&gt;=0, 0,
                IF(OR($C30="Saturday", $C30="Sunday"), 0, 0)
            )
        )
    )),
"Write in the next field")</f>
        <v>0.30833333333333335</v>
      </c>
      <c r="H30" s="16">
        <v>0</v>
      </c>
      <c r="I30" s="16">
        <v>0</v>
      </c>
      <c r="J30" s="16">
        <v>0</v>
      </c>
      <c r="K30" s="63" t="str">
        <f>IF(F30="N","0:00",IF(
OR(
AND(Masterdata!$B$4&lt;&gt;DATE(1900,1,0),Masterdata!$B$4&lt;$E30),
AND(Masterdata!$B$3&lt;&gt;DATE(1900,1,0),Masterdata!$B$3&gt;$E30)
),
"0:00",
IF(
$H30&gt;TIME(0,0,0),
IF(
OR($C30="Saturday",$C30="Sunday"),
TEXT($H30,"[tt]:mm"),
IF($H30-$V$8&gt;=0,TEXT($H30-$V$8,"[tt]:mm"),"-"&amp;TEXT(ABS($H30-$V$8),"[tt]:mm"))
),
IF(
OR($C30="Saturday",$C30="Sunday"),
IF($J30-$I30&gt;=0,TEXT($J30-$I30,"[tt]:mm"),"-"&amp;TEXT(ABS($J30-$I30),"[tt]:mm")),
IFERROR(
IF($G30-$V$8=0,
IF($G30-$V$8&gt;=0,TEXT($G30-$V$8,"[tt]:mm"),"-"&amp;TEXT(ABS($G30-$V$8),"[tt]:mm")),
IF($J30-$I30&gt;=0,TEXT($J30-$I30,"[tt]:mm"),"-"&amp;TEXT(ABS($J30-$I30),"[tt]:mm"))
),
IF(
$J30-$I30-$V$8&gt;=0,
TEXT($J30-$I30-$V$8,"[tt]:mm"),
"-"&amp;TEXT(ABS($J30-$I30-$V$8),"[tt]:mm")
)
)
)
)
))</f>
        <v>0:00</v>
      </c>
      <c r="L30" s="54" t="str">
        <f t="shared" si="3"/>
        <v>0</v>
      </c>
      <c r="M30" s="58" t="str">
        <f t="shared" si="4"/>
        <v>0:</v>
      </c>
      <c r="N30" s="51" t="str">
        <f t="shared" si="5"/>
        <v>0</v>
      </c>
      <c r="O30" s="57">
        <f t="shared" si="6"/>
        <v>0</v>
      </c>
      <c r="P30" s="6">
        <f t="shared" si="7"/>
        <v>0</v>
      </c>
      <c r="Q30" s="69"/>
    </row>
    <row r="31" spans="1:21" ht="15.75" x14ac:dyDescent="0.25">
      <c r="A31" s="12">
        <f t="shared" si="1"/>
        <v>30</v>
      </c>
      <c r="B31" s="13">
        <f t="shared" si="8"/>
        <v>45498</v>
      </c>
      <c r="C31" s="14" t="str" cm="1">
        <f t="array" ref="C31">_xlfn.SWITCH(WEEKDAY($D31, 2), 1, "Monday", 2, "Tuesday", 3, "Wednesday", 4, "Thursday", 5, "Friday", 6, "Saturday", 7, "Sunday")</f>
        <v>Thursday</v>
      </c>
      <c r="D31">
        <f t="shared" si="0"/>
        <v>5</v>
      </c>
      <c r="E31" s="42">
        <f t="shared" si="2"/>
        <v>45498</v>
      </c>
      <c r="F31" s="15" t="s">
        <v>21</v>
      </c>
      <c r="G31" s="17">
        <f>IFERROR(
    IF($F31="N", $V$8,
        IF(OR(
            AND(Masterdata!$B$4&lt;&gt;DATE(1900,1,0), Masterdata!$B$4&lt;$E31),
            AND(Masterdata!$B$3&lt;&gt;DATE(1900,1,0), Masterdata!$B$3&gt;$E31)
        ),
        IF($H31&gt;=TIME(0,0,0), "Write in the next field", 0),
        IF($H31&gt;=TIME(0,0,0), "Write in the next field",
            IF($H31&gt;=0, 0,
                IF(OR($C31="Saturday", $C31="Sunday"), 0, 0)
            )
        )
    )),
"Write in the next field")</f>
        <v>0.30833333333333335</v>
      </c>
      <c r="H31" s="16">
        <v>0</v>
      </c>
      <c r="I31" s="16">
        <v>0</v>
      </c>
      <c r="J31" s="16">
        <v>0</v>
      </c>
      <c r="K31" s="63" t="str">
        <f>IF(F31="N","0:00",IF(
OR(
AND(Masterdata!$B$4&lt;&gt;DATE(1900,1,0),Masterdata!$B$4&lt;$E31),
AND(Masterdata!$B$3&lt;&gt;DATE(1900,1,0),Masterdata!$B$3&gt;$E31)
),
"0:00",
IF(
$H31&gt;TIME(0,0,0),
IF(
OR($C31="Saturday",$C31="Sunday"),
TEXT($H31,"[tt]:mm"),
IF($H31-$V$8&gt;=0,TEXT($H31-$V$8,"[tt]:mm"),"-"&amp;TEXT(ABS($H31-$V$8),"[tt]:mm"))
),
IF(
OR($C31="Saturday",$C31="Sunday"),
IF($J31-$I31&gt;=0,TEXT($J31-$I31,"[tt]:mm"),"-"&amp;TEXT(ABS($J31-$I31),"[tt]:mm")),
IFERROR(
IF($G31-$V$8=0,
IF($G31-$V$8&gt;=0,TEXT($G31-$V$8,"[tt]:mm"),"-"&amp;TEXT(ABS($G31-$V$8),"[tt]:mm")),
IF($J31-$I31&gt;=0,TEXT($J31-$I31,"[tt]:mm"),"-"&amp;TEXT(ABS($J31-$I31),"[tt]:mm"))
),
IF(
$J31-$I31-$V$8&gt;=0,
TEXT($J31-$I31-$V$8,"[tt]:mm"),
"-"&amp;TEXT(ABS($J31-$I31-$V$8),"[tt]:mm")
)
)
)
)
))</f>
        <v>0:00</v>
      </c>
      <c r="L31" s="54" t="str">
        <f t="shared" si="3"/>
        <v>0</v>
      </c>
      <c r="M31" s="58" t="str">
        <f t="shared" si="4"/>
        <v>0:</v>
      </c>
      <c r="N31" s="51" t="str">
        <f t="shared" si="5"/>
        <v>0</v>
      </c>
      <c r="O31" s="57">
        <f t="shared" si="6"/>
        <v>0</v>
      </c>
      <c r="P31" s="6">
        <f t="shared" si="7"/>
        <v>0</v>
      </c>
      <c r="Q31" s="69"/>
    </row>
    <row r="32" spans="1:21" ht="15.75" x14ac:dyDescent="0.25">
      <c r="A32" s="12">
        <f t="shared" si="1"/>
        <v>30</v>
      </c>
      <c r="B32" s="13">
        <f t="shared" si="8"/>
        <v>45499</v>
      </c>
      <c r="C32" s="14" t="str" cm="1">
        <f t="array" ref="C32">_xlfn.SWITCH(WEEKDAY($D32, 2), 1, "Monday", 2, "Tuesday", 3, "Wednesday", 4, "Thursday", 5, "Friday", 6, "Saturday", 7, "Sunday")</f>
        <v>Friday</v>
      </c>
      <c r="D32">
        <f t="shared" si="0"/>
        <v>6</v>
      </c>
      <c r="E32" s="42">
        <f t="shared" si="2"/>
        <v>45499</v>
      </c>
      <c r="F32" s="15" t="s">
        <v>21</v>
      </c>
      <c r="G32" s="17">
        <f>IFERROR(
    IF($F32="N", $V$8,
        IF(OR(
            AND(Masterdata!$B$4&lt;&gt;DATE(1900,1,0), Masterdata!$B$4&lt;$E32),
            AND(Masterdata!$B$3&lt;&gt;DATE(1900,1,0), Masterdata!$B$3&gt;$E32)
        ),
        IF($H32&gt;=TIME(0,0,0), "Write in the next field", 0),
        IF($H32&gt;=TIME(0,0,0), "Write in the next field",
            IF($H32&gt;=0, 0,
                IF(OR($C32="Saturday", $C32="Sunday"), 0, 0)
            )
        )
    )),
"Write in the next field")</f>
        <v>0.30833333333333335</v>
      </c>
      <c r="H32" s="16">
        <v>0</v>
      </c>
      <c r="I32" s="16">
        <v>0</v>
      </c>
      <c r="J32" s="16">
        <v>0</v>
      </c>
      <c r="K32" s="63" t="str">
        <f>IF(F32="N","0:00",IF(
OR(
AND(Masterdata!$B$4&lt;&gt;DATE(1900,1,0),Masterdata!$B$4&lt;$E32),
AND(Masterdata!$B$3&lt;&gt;DATE(1900,1,0),Masterdata!$B$3&gt;$E32)
),
"0:00",
IF(
$H32&gt;TIME(0,0,0),
IF(
OR($C32="Saturday",$C32="Sunday"),
TEXT($H32,"[tt]:mm"),
IF($H32-$V$8&gt;=0,TEXT($H32-$V$8,"[tt]:mm"),"-"&amp;TEXT(ABS($H32-$V$8),"[tt]:mm"))
),
IF(
OR($C32="Saturday",$C32="Sunday"),
IF($J32-$I32&gt;=0,TEXT($J32-$I32,"[tt]:mm"),"-"&amp;TEXT(ABS($J32-$I32),"[tt]:mm")),
IFERROR(
IF($G32-$V$8=0,
IF($G32-$V$8&gt;=0,TEXT($G32-$V$8,"[tt]:mm"),"-"&amp;TEXT(ABS($G32-$V$8),"[tt]:mm")),
IF($J32-$I32&gt;=0,TEXT($J32-$I32,"[tt]:mm"),"-"&amp;TEXT(ABS($J32-$I32),"[tt]:mm"))
),
IF(
$J32-$I32-$V$8&gt;=0,
TEXT($J32-$I32-$V$8,"[tt]:mm"),
"-"&amp;TEXT(ABS($J32-$I32-$V$8),"[tt]:mm")
)
)
)
)
))</f>
        <v>0:00</v>
      </c>
      <c r="L32" s="54" t="str">
        <f t="shared" si="3"/>
        <v>0</v>
      </c>
      <c r="M32" s="58" t="str">
        <f t="shared" si="4"/>
        <v>0:</v>
      </c>
      <c r="N32" s="51" t="str">
        <f t="shared" si="5"/>
        <v>0</v>
      </c>
      <c r="O32" s="57">
        <f t="shared" si="6"/>
        <v>0</v>
      </c>
      <c r="P32" s="6">
        <f t="shared" si="7"/>
        <v>0</v>
      </c>
      <c r="Q32" s="69"/>
    </row>
    <row r="33" spans="1:17" ht="15.75" x14ac:dyDescent="0.25">
      <c r="A33" s="12">
        <f t="shared" si="1"/>
        <v>30</v>
      </c>
      <c r="B33" s="13">
        <f t="shared" si="8"/>
        <v>45500</v>
      </c>
      <c r="C33" s="14" t="str" cm="1">
        <f t="array" ref="C33">_xlfn.SWITCH(WEEKDAY($D33, 2), 1, "Monday", 2, "Tuesday", 3, "Wednesday", 4, "Thursday", 5, "Friday", 6, "Saturday", 7, "Sunday")</f>
        <v>Saturday</v>
      </c>
      <c r="D33">
        <f t="shared" si="0"/>
        <v>7</v>
      </c>
      <c r="E33" s="42">
        <f t="shared" si="2"/>
        <v>45500</v>
      </c>
      <c r="F33" s="15" t="s">
        <v>21</v>
      </c>
      <c r="G33" s="17">
        <f>IF($F33="N",0,"Write in the next field")</f>
        <v>0</v>
      </c>
      <c r="H33" s="16">
        <v>0</v>
      </c>
      <c r="I33" s="16">
        <v>0</v>
      </c>
      <c r="J33" s="16">
        <v>0</v>
      </c>
      <c r="K33" s="63" t="str">
        <f>IF(F33="N","0:00",IF(
OR(
AND(Masterdata!$B$4&lt;&gt;DATE(1900,1,0),Masterdata!$B$4&lt;$E33),
AND(Masterdata!$B$3&lt;&gt;DATE(1900,1,0),Masterdata!$B$3&gt;$E33)
),
"0:00",
IF(
$H33&gt;TIME(0,0,0),
IF(
OR($C33="Saturday",$C33="Sunday"),
TEXT($H33,"[tt]:mm"),
IF($H33-$V$8&gt;=0,TEXT($H33-$V$8,"[tt]:mm"),"-"&amp;TEXT(ABS($H33-$V$8),"[tt]:mm"))
),
IF(
OR($C33="Saturday",$C33="Sunday"),
IF($J33-$I33&gt;=0,TEXT($J33-$I33,"[tt]:mm"),"-"&amp;TEXT(ABS($J33-$I33),"[tt]:mm")),
IFERROR(
IF($G33-$V$8=0,
IF($G33-$V$8&gt;=0,TEXT($G33-$V$8,"[tt]:mm"),"-"&amp;TEXT(ABS($G33-$V$8),"[tt]:mm")),
IF($J33-$I33&gt;=0,TEXT($J33-$I33,"[tt]:mm"),"-"&amp;TEXT(ABS($J33-$I33),"[tt]:mm"))
),
IF(
$J33-$I33-$V$8&gt;=0,
TEXT($J33-$I33-$V$8,"[tt]:mm"),
"-"&amp;TEXT(ABS($J33-$I33-$V$8),"[tt]:mm")
)
)
)
)
))</f>
        <v>0:00</v>
      </c>
      <c r="L33" s="54" t="str">
        <f t="shared" si="3"/>
        <v>0</v>
      </c>
      <c r="M33" s="58" t="str">
        <f t="shared" si="4"/>
        <v>0:</v>
      </c>
      <c r="N33" s="51" t="str">
        <f t="shared" si="5"/>
        <v>0</v>
      </c>
      <c r="O33" s="57">
        <f t="shared" si="6"/>
        <v>0</v>
      </c>
      <c r="P33" s="6">
        <f t="shared" si="7"/>
        <v>0</v>
      </c>
      <c r="Q33" s="69"/>
    </row>
    <row r="34" spans="1:17" ht="15.75" x14ac:dyDescent="0.25">
      <c r="A34" s="12">
        <f t="shared" si="1"/>
        <v>30</v>
      </c>
      <c r="B34" s="13">
        <f t="shared" si="8"/>
        <v>45501</v>
      </c>
      <c r="C34" s="14" t="str" cm="1">
        <f t="array" ref="C34">_xlfn.SWITCH(WEEKDAY($D34, 2), 1, "Monday", 2, "Tuesday", 3, "Wednesday", 4, "Thursday", 5, "Friday", 6, "Saturday", 7, "Sunday")</f>
        <v>Sunday</v>
      </c>
      <c r="D34">
        <f t="shared" si="0"/>
        <v>8</v>
      </c>
      <c r="E34" s="42">
        <f t="shared" si="2"/>
        <v>45501</v>
      </c>
      <c r="F34" s="15" t="s">
        <v>21</v>
      </c>
      <c r="G34" s="17">
        <f>IF($F34="N",0,"Write in the next field")</f>
        <v>0</v>
      </c>
      <c r="H34" s="16">
        <v>0</v>
      </c>
      <c r="I34" s="16">
        <v>0</v>
      </c>
      <c r="J34" s="16">
        <v>0</v>
      </c>
      <c r="K34" s="63" t="str">
        <f>IF(F34="N","0:00",IF(
OR(
AND(Masterdata!$B$4&lt;&gt;DATE(1900,1,0),Masterdata!$B$4&lt;$E34),
AND(Masterdata!$B$3&lt;&gt;DATE(1900,1,0),Masterdata!$B$3&gt;$E34)
),
"0:00",
IF(
$H34&gt;TIME(0,0,0),
IF(
OR($C34="Saturday",$C34="Sunday"),
TEXT($H34,"[tt]:mm"),
IF($H34-$V$8&gt;=0,TEXT($H34-$V$8,"[tt]:mm"),"-"&amp;TEXT(ABS($H34-$V$8),"[tt]:mm"))
),
IF(
OR($C34="Saturday",$C34="Sunday"),
IF($J34-$I34&gt;=0,TEXT($J34-$I34,"[tt]:mm"),"-"&amp;TEXT(ABS($J34-$I34),"[tt]:mm")),
IFERROR(
IF($G34-$V$8=0,
IF($G34-$V$8&gt;=0,TEXT($G34-$V$8,"[tt]:mm"),"-"&amp;TEXT(ABS($G34-$V$8),"[tt]:mm")),
IF($J34-$I34&gt;=0,TEXT($J34-$I34,"[tt]:mm"),"-"&amp;TEXT(ABS($J34-$I34),"[tt]:mm"))
),
IF(
$J34-$I34-$V$8&gt;=0,
TEXT($J34-$I34-$V$8,"[tt]:mm"),
"-"&amp;TEXT(ABS($J34-$I34-$V$8),"[tt]:mm")
)
)
)
)
))</f>
        <v>0:00</v>
      </c>
      <c r="L34" s="54" t="str">
        <f t="shared" si="3"/>
        <v>0</v>
      </c>
      <c r="M34" s="58" t="str">
        <f t="shared" si="4"/>
        <v>0:</v>
      </c>
      <c r="N34" s="51" t="str">
        <f t="shared" si="5"/>
        <v>0</v>
      </c>
      <c r="O34" s="57">
        <f t="shared" si="6"/>
        <v>0</v>
      </c>
      <c r="P34" s="6">
        <f t="shared" si="7"/>
        <v>0</v>
      </c>
      <c r="Q34" s="69"/>
    </row>
    <row r="35" spans="1:17" ht="15.75" x14ac:dyDescent="0.25">
      <c r="A35" s="12">
        <f t="shared" si="1"/>
        <v>31</v>
      </c>
      <c r="B35" s="13">
        <f t="shared" si="8"/>
        <v>45502</v>
      </c>
      <c r="C35" s="14" t="str" cm="1">
        <f t="array" ref="C35">_xlfn.SWITCH(WEEKDAY($D35, 2), 1, "Monday", 2, "Tuesday", 3, "Wednesday", 4, "Thursday", 5, "Friday", 6, "Saturday", 7, "Sunday")</f>
        <v>Monday</v>
      </c>
      <c r="D35">
        <f t="shared" si="0"/>
        <v>2</v>
      </c>
      <c r="E35" s="42">
        <f t="shared" si="2"/>
        <v>45502</v>
      </c>
      <c r="F35" s="15" t="s">
        <v>21</v>
      </c>
      <c r="G35" s="17">
        <f>IFERROR(
    IF($F35="N", $V$8,
        IF(OR(
            AND(Masterdata!$B$4&lt;&gt;DATE(1900,1,0), Masterdata!$B$4&lt;$E35),
            AND(Masterdata!$B$3&lt;&gt;DATE(1900,1,0), Masterdata!$B$3&gt;$E35)
        ),
        IF($H35&gt;=TIME(0,0,0), "Write in the next field", 0),
        IF($H35&gt;=TIME(0,0,0), "Write in the next field",
            IF($H35&gt;=0, 0,
                IF(OR($C35="Saturday", $C35="Sunday"), 0, 0)
            )
        )
    )),
"Write in the next field")</f>
        <v>0.30833333333333335</v>
      </c>
      <c r="H35" s="16">
        <v>0</v>
      </c>
      <c r="I35" s="16">
        <v>0</v>
      </c>
      <c r="J35" s="16">
        <v>0</v>
      </c>
      <c r="K35" s="63" t="str">
        <f>IF(F35="N","0:00",IF(
OR(
AND(Masterdata!$B$4&lt;&gt;DATE(1900,1,0),Masterdata!$B$4&lt;$E35),
AND(Masterdata!$B$3&lt;&gt;DATE(1900,1,0),Masterdata!$B$3&gt;$E35)
),
"0:00",
IF(
$H35&gt;TIME(0,0,0),
IF(
OR($C35="Saturday",$C35="Sunday"),
TEXT($H35,"[tt]:mm"),
IF($H35-$V$8&gt;=0,TEXT($H35-$V$8,"[tt]:mm"),"-"&amp;TEXT(ABS($H35-$V$8),"[tt]:mm"))
),
IF(
OR($C35="Saturday",$C35="Sunday"),
IF($J35-$I35&gt;=0,TEXT($J35-$I35,"[tt]:mm"),"-"&amp;TEXT(ABS($J35-$I35),"[tt]:mm")),
IFERROR(
IF($G35-$V$8=0,
IF($G35-$V$8&gt;=0,TEXT($G35-$V$8,"[tt]:mm"),"-"&amp;TEXT(ABS($G35-$V$8),"[tt]:mm")),
IF($J35-$I35&gt;=0,TEXT($J35-$I35,"[tt]:mm"),"-"&amp;TEXT(ABS($J35-$I35),"[tt]:mm"))
),
IF(
$J35-$I35-$V$8&gt;=0,
TEXT($J35-$I35-$V$8,"[tt]:mm"),
"-"&amp;TEXT(ABS($J35-$I35-$V$8),"[tt]:mm")
)
)
)
)
))</f>
        <v>0:00</v>
      </c>
      <c r="L35" s="54" t="str">
        <f t="shared" si="3"/>
        <v>0</v>
      </c>
      <c r="M35" s="58" t="str">
        <f t="shared" si="4"/>
        <v>0:</v>
      </c>
      <c r="N35" s="51" t="str">
        <f t="shared" si="5"/>
        <v>0</v>
      </c>
      <c r="O35" s="57">
        <f t="shared" si="6"/>
        <v>0</v>
      </c>
      <c r="P35" s="6">
        <f t="shared" si="7"/>
        <v>0</v>
      </c>
      <c r="Q35" s="69"/>
    </row>
    <row r="36" spans="1:17" ht="15.75" x14ac:dyDescent="0.25">
      <c r="A36" s="12">
        <f t="shared" si="1"/>
        <v>31</v>
      </c>
      <c r="B36" s="13">
        <f t="shared" si="8"/>
        <v>45503</v>
      </c>
      <c r="C36" s="14" t="str" cm="1">
        <f t="array" ref="C36">_xlfn.SWITCH(WEEKDAY($D36, 2), 1, "Monday", 2, "Tuesday", 3, "Wednesday", 4, "Thursday", 5, "Friday", 6, "Saturday", 7, "Sunday")</f>
        <v>Tuesday</v>
      </c>
      <c r="D36">
        <f t="shared" si="0"/>
        <v>3</v>
      </c>
      <c r="E36" s="42">
        <f t="shared" si="2"/>
        <v>45503</v>
      </c>
      <c r="F36" s="15" t="s">
        <v>21</v>
      </c>
      <c r="G36" s="17">
        <f>IFERROR(
    IF($F36="N", $V$8,
        IF(OR(
            AND(Masterdata!$B$4&lt;&gt;DATE(1900,1,0), Masterdata!$B$4&lt;$E36),
            AND(Masterdata!$B$3&lt;&gt;DATE(1900,1,0), Masterdata!$B$3&gt;$E36)
        ),
        IF($H36&gt;=TIME(0,0,0), "Write in the next field", 0),
        IF($H36&gt;=TIME(0,0,0), "Write in the next field",
            IF($H36&gt;=0, 0,
                IF(OR($C36="Saturday", $C36="Sunday"), 0, 0)
            )
        )
    )),
"Write in the next field")</f>
        <v>0.30833333333333335</v>
      </c>
      <c r="H36" s="16">
        <v>0</v>
      </c>
      <c r="I36" s="16">
        <v>0</v>
      </c>
      <c r="J36" s="16">
        <v>0</v>
      </c>
      <c r="K36" s="63" t="str">
        <f>IF(F36="N","0:00",IF(
OR(
AND(Masterdata!$B$4&lt;&gt;DATE(1900,1,0),Masterdata!$B$4&lt;$E36),
AND(Masterdata!$B$3&lt;&gt;DATE(1900,1,0),Masterdata!$B$3&gt;$E36)
),
"0:00",
IF(
$H36&gt;TIME(0,0,0),
IF(
OR($C36="Saturday",$C36="Sunday"),
TEXT($H36,"[tt]:mm"),
IF($H36-$V$8&gt;=0,TEXT($H36-$V$8,"[tt]:mm"),"-"&amp;TEXT(ABS($H36-$V$8),"[tt]:mm"))
),
IF(
OR($C36="Saturday",$C36="Sunday"),
IF($J36-$I36&gt;=0,TEXT($J36-$I36,"[tt]:mm"),"-"&amp;TEXT(ABS($J36-$I36),"[tt]:mm")),
IFERROR(
IF($G36-$V$8=0,
IF($G36-$V$8&gt;=0,TEXT($G36-$V$8,"[tt]:mm"),"-"&amp;TEXT(ABS($G36-$V$8),"[tt]:mm")),
IF($J36-$I36&gt;=0,TEXT($J36-$I36,"[tt]:mm"),"-"&amp;TEXT(ABS($J36-$I36),"[tt]:mm"))
),
IF(
$J36-$I36-$V$8&gt;=0,
TEXT($J36-$I36-$V$8,"[tt]:mm"),
"-"&amp;TEXT(ABS($J36-$I36-$V$8),"[tt]:mm")
)
)
)
)
))</f>
        <v>0:00</v>
      </c>
      <c r="L36" s="54" t="str">
        <f t="shared" si="3"/>
        <v>0</v>
      </c>
      <c r="M36" s="58" t="str">
        <f t="shared" si="4"/>
        <v>0:</v>
      </c>
      <c r="N36" s="51" t="str">
        <f t="shared" si="5"/>
        <v>0</v>
      </c>
      <c r="O36" s="57">
        <f t="shared" si="6"/>
        <v>0</v>
      </c>
      <c r="P36" s="6">
        <f t="shared" si="7"/>
        <v>0</v>
      </c>
      <c r="Q36" s="69"/>
    </row>
    <row r="37" spans="1:17" ht="15.75" x14ac:dyDescent="0.25">
      <c r="A37" s="12">
        <f t="shared" si="1"/>
        <v>31</v>
      </c>
      <c r="B37" s="13">
        <f t="shared" si="8"/>
        <v>45504</v>
      </c>
      <c r="C37" s="14" t="str" cm="1">
        <f t="array" ref="C37">_xlfn.SWITCH(WEEKDAY($D37, 2), 1, "Monday", 2, "Tuesday", 3, "Wednesday", 4, "Thursday", 5, "Friday", 6, "Saturday", 7, "Sunday")</f>
        <v>Wednesday</v>
      </c>
      <c r="D37">
        <f t="shared" si="0"/>
        <v>4</v>
      </c>
      <c r="E37" s="42">
        <f t="shared" si="2"/>
        <v>45504</v>
      </c>
      <c r="F37" s="15" t="s">
        <v>21</v>
      </c>
      <c r="G37" s="17">
        <f>IFERROR(
    IF($F37="N", $V$8,
        IF(OR(
            AND(Masterdata!$B$4&lt;&gt;DATE(1900,1,0), Masterdata!$B$4&lt;$E37),
            AND(Masterdata!$B$3&lt;&gt;DATE(1900,1,0), Masterdata!$B$3&gt;$E37)
        ),
        IF($H37&gt;=TIME(0,0,0), "Write in the next field", 0),
        IF($H37&gt;=TIME(0,0,0), "Write in the next field",
            IF($H37&gt;=0, 0,
                IF(OR($C37="Saturday", $C37="Sunday"), 0, 0)
            )
        )
    )),
"Write in the next field")</f>
        <v>0.30833333333333335</v>
      </c>
      <c r="H37" s="16">
        <v>0</v>
      </c>
      <c r="I37" s="16">
        <v>0</v>
      </c>
      <c r="J37" s="16">
        <v>0</v>
      </c>
      <c r="K37" s="63" t="str">
        <f>IF(F37="N","0:00",IF(
OR(
AND(Masterdata!$B$4&lt;&gt;DATE(1900,1,0),Masterdata!$B$4&lt;$E37),
AND(Masterdata!$B$3&lt;&gt;DATE(1900,1,0),Masterdata!$B$3&gt;$E37)
),
"0:00",
IF(
$H37&gt;TIME(0,0,0),
IF(
OR($C37="Saturday",$C37="Sunday"),
TEXT($H37,"[tt]:mm"),
IF($H37-$V$8&gt;=0,TEXT($H37-$V$8,"[tt]:mm"),"-"&amp;TEXT(ABS($H37-$V$8),"[tt]:mm"))
),
IF(
OR($C37="Saturday",$C37="Sunday"),
IF($J37-$I37&gt;=0,TEXT($J37-$I37,"[tt]:mm"),"-"&amp;TEXT(ABS($J37-$I37),"[tt]:mm")),
IFERROR(
IF($G37-$V$8=0,
IF($G37-$V$8&gt;=0,TEXT($G37-$V$8,"[tt]:mm"),"-"&amp;TEXT(ABS($G37-$V$8),"[tt]:mm")),
IF($J37-$I37&gt;=0,TEXT($J37-$I37,"[tt]:mm"),"-"&amp;TEXT(ABS($J37-$I37),"[tt]:mm"))
),
IF(
$J37-$I37-$V$8&gt;=0,
TEXT($J37-$I37-$V$8,"[tt]:mm"),
"-"&amp;TEXT(ABS($J37-$I37-$V$8),"[tt]:mm")
)
)
)
)
))</f>
        <v>0:00</v>
      </c>
      <c r="L37" s="54" t="str">
        <f t="shared" si="3"/>
        <v>0</v>
      </c>
      <c r="M37" s="58" t="str">
        <f t="shared" si="4"/>
        <v>0:</v>
      </c>
      <c r="N37" s="51" t="str">
        <f t="shared" si="5"/>
        <v>0</v>
      </c>
      <c r="O37" s="57">
        <f t="shared" si="6"/>
        <v>0</v>
      </c>
      <c r="P37" s="6">
        <f t="shared" si="7"/>
        <v>0</v>
      </c>
      <c r="Q37" s="69"/>
    </row>
    <row r="38" spans="1:17" x14ac:dyDescent="0.25">
      <c r="K38" s="8"/>
      <c r="P38" s="6">
        <f>SUM(P7:P37)</f>
        <v>0</v>
      </c>
    </row>
  </sheetData>
  <sheetProtection algorithmName="SHA-512" hashValue="903vkWH7u8GIVwp7re77KfCpxjpyNmwEXQHpVyJNRKhtedwbCDLLmKnSBmx1G1hrOb9ofoBKEo4mFeJEheaFsg==" saltValue="6bXO+lgMVDG5hD6N0DGd+g==" spinCount="100000" sheet="1" objects="1" scenarios="1"/>
  <conditionalFormatting sqref="A7:G37">
    <cfRule type="expression" dxfId="30" priority="25">
      <formula>OR($C7="Saturday", $C7="Sunday")</formula>
    </cfRule>
  </conditionalFormatting>
  <conditionalFormatting sqref="G7:G3711">
    <cfRule type="expression" dxfId="29" priority="28">
      <formula>AND($F7="N", NOT(OR($C7="Saturday", $C7="Sunday")))</formula>
    </cfRule>
  </conditionalFormatting>
  <conditionalFormatting sqref="H7:J37">
    <cfRule type="expression" dxfId="28" priority="26">
      <formula>OR($F7="N")</formula>
    </cfRule>
    <cfRule type="expression" dxfId="27" priority="27">
      <formula>$F7="R"</formula>
    </cfRule>
  </conditionalFormatting>
  <dataValidations count="1">
    <dataValidation type="list" allowBlank="1" showInputMessage="1" showErrorMessage="1" sqref="F7:F37" xr:uid="{558DBD59-96C8-4AE4-BB1F-AE6357753758}">
      <formula1>$Q$2:$Q$3</formula1>
    </dataValidation>
  </dataValidations>
  <pageMargins left="0.7" right="0.7" top="0.75" bottom="0.75" header="0.3" footer="0.3"/>
  <pageSetup paperSize="9" orientation="portrait" r:id="rId1"/>
  <ignoredErrors>
    <ignoredError sqref="K38"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E1923-BADE-47F0-90FC-4C1C27BF1D87}">
  <dimension ref="A1:X38"/>
  <sheetViews>
    <sheetView zoomScale="70" zoomScaleNormal="70" workbookViewId="0">
      <selection activeCell="R25" sqref="R25"/>
    </sheetView>
  </sheetViews>
  <sheetFormatPr defaultRowHeight="15" outlineLevelCol="1" x14ac:dyDescent="0.25"/>
  <cols>
    <col min="1" max="1" width="20.85546875" bestFit="1" customWidth="1"/>
    <col min="2" max="2" width="14.140625" customWidth="1"/>
    <col min="3" max="3" width="13" bestFit="1" customWidth="1"/>
    <col min="4" max="4" width="15" hidden="1" customWidth="1"/>
    <col min="5" max="5" width="12.85546875" hidden="1" customWidth="1"/>
    <col min="6" max="6" width="11.28515625" customWidth="1"/>
    <col min="7" max="8" width="20.85546875" bestFit="1" customWidth="1"/>
    <col min="9" max="10" width="11.28515625" customWidth="1"/>
    <col min="11" max="11" width="17.28515625" bestFit="1" customWidth="1"/>
    <col min="12" max="16" width="10.42578125" hidden="1" customWidth="1" outlineLevel="1"/>
    <col min="17" max="17" width="28.570312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36" t="str">
        <f>Masterdata!B13</f>
        <v>Standard work hours</v>
      </c>
      <c r="B1" s="37">
        <v>37</v>
      </c>
      <c r="Q1" s="45" t="s">
        <v>84</v>
      </c>
      <c r="R1" s="46" t="s">
        <v>85</v>
      </c>
    </row>
    <row r="2" spans="1:24" ht="30.75" x14ac:dyDescent="0.25">
      <c r="A2" s="34" t="s">
        <v>79</v>
      </c>
      <c r="B2" s="84" t="str">
        <f>IF(P38&lt;0,"-"&amp;TEXT(ABS(P38/24),"[TT]:mm"),TEXT(P38/24,"[TT]:mm"))</f>
        <v>00:00</v>
      </c>
      <c r="Q2" s="47" t="s">
        <v>21</v>
      </c>
      <c r="R2" s="49" t="s">
        <v>86</v>
      </c>
    </row>
    <row r="3" spans="1:24" ht="63" x14ac:dyDescent="0.25">
      <c r="A3" s="39" t="s">
        <v>72</v>
      </c>
      <c r="B3" s="40">
        <f>B7</f>
        <v>45505</v>
      </c>
      <c r="Q3" s="48" t="s">
        <v>23</v>
      </c>
      <c r="R3" s="85" t="s">
        <v>97</v>
      </c>
    </row>
    <row r="4" spans="1:24" ht="16.5" thickBot="1" x14ac:dyDescent="0.3">
      <c r="A4" s="35" t="s">
        <v>81</v>
      </c>
      <c r="B4" s="41" t="s">
        <v>12</v>
      </c>
      <c r="Q4" s="44" t="s">
        <v>87</v>
      </c>
      <c r="R4" s="43" t="s">
        <v>88</v>
      </c>
    </row>
    <row r="5" spans="1:24" ht="15.75" thickBot="1" x14ac:dyDescent="0.3"/>
    <row r="6" spans="1:24" ht="21.75" customHeight="1" thickBot="1" x14ac:dyDescent="0.3">
      <c r="A6" s="9" t="s">
        <v>89</v>
      </c>
      <c r="B6" s="10" t="s">
        <v>90</v>
      </c>
      <c r="C6" s="10" t="s">
        <v>91</v>
      </c>
      <c r="D6" s="10" t="s">
        <v>30</v>
      </c>
      <c r="E6" s="10" t="s">
        <v>31</v>
      </c>
      <c r="F6" s="10" t="s">
        <v>84</v>
      </c>
      <c r="G6" s="10" t="s">
        <v>77</v>
      </c>
      <c r="H6" s="10" t="s">
        <v>92</v>
      </c>
      <c r="I6" s="11" t="s">
        <v>34</v>
      </c>
      <c r="J6" s="11" t="s">
        <v>93</v>
      </c>
      <c r="K6" s="10" t="s">
        <v>94</v>
      </c>
      <c r="L6" s="55" t="s">
        <v>37</v>
      </c>
      <c r="M6" s="56" t="s">
        <v>38</v>
      </c>
      <c r="N6" s="56" t="s">
        <v>39</v>
      </c>
      <c r="O6" s="56"/>
      <c r="Q6" s="10" t="s">
        <v>95</v>
      </c>
      <c r="U6" t="s">
        <v>41</v>
      </c>
      <c r="V6">
        <v>5</v>
      </c>
    </row>
    <row r="7" spans="1:24" ht="15.75" x14ac:dyDescent="0.25">
      <c r="A7" s="12">
        <f>WEEKNUM($B7,21)</f>
        <v>31</v>
      </c>
      <c r="B7" s="13">
        <f>DATE(Masterdata!$B$5,8,1)</f>
        <v>45505</v>
      </c>
      <c r="C7" s="14" t="str" cm="1">
        <f t="array" ref="C7">_xlfn.SWITCH(WEEKDAY($D7, 2), 1, "Monday", 2, "Tuesday", 3, "Wednesday", 4, "Thursday", 5, "Friday", 6, "Saturday", 7, "Sunday")</f>
        <v>Thursday</v>
      </c>
      <c r="D7">
        <f t="shared" ref="D7:D37" si="0">WEEKDAY($B7, 2)+1</f>
        <v>5</v>
      </c>
      <c r="E7" s="42">
        <f>$B7</f>
        <v>45505</v>
      </c>
      <c r="F7" s="15" t="s">
        <v>21</v>
      </c>
      <c r="G7" s="17">
        <f>IFERROR(
    IF($F7="N", $V$8,
        IF(OR(
            AND(Masterdata!$B$4&lt;&gt;DATE(1900,1,0), Masterdata!$B$4&lt;$E7),
            AND(Masterdata!$B$3&lt;&gt;DATE(1900,1,0), Masterdata!$B$3&gt;$E7)
        ),
        IF($H7&gt;=TIME(0,0,0), "Write in the next field", 0),
        IF($H7&gt;=TIME(0,0,0), "Write in the next field",
            IF($H7&gt;=0, 0,
                IF(OR($C7="Saturday", $C7="Sunday"), 0, 0)
            )
        )
    )),
"Write in the next field")</f>
        <v>0.30833333333333335</v>
      </c>
      <c r="H7" s="16">
        <v>0</v>
      </c>
      <c r="I7" s="16">
        <v>0</v>
      </c>
      <c r="J7" s="16">
        <v>0</v>
      </c>
      <c r="K7" s="63" t="str">
        <f>IF(F7="N","0:00",IF(
OR(
AND(Masterdata!$B$4&lt;&gt;DATE(1900,1,0),Masterdata!$B$4&lt;$E7),
AND(Masterdata!$B$3&lt;&gt;DATE(1900,1,0),Masterdata!$B$3&gt;$E7)
),
"0:00",
IF(
$H7&gt;TIME(0,0,0),
IF(
OR($C7="Saturday",$C7="Sunday"),
TEXT($H7,"[tt]:mm"),
IF($H7-$V$8&gt;=0,TEXT($H7-$V$8,"[tt]:mm"),"-"&amp;TEXT(ABS($H7-$V$8),"[tt]:mm"))
),
IF(
OR($C7="Saturday",$C7="Sunday"),
IF($J7-$I7&gt;=0,TEXT($J7-$I7,"[tt]:mm"),"-"&amp;TEXT(ABS($J7-$I7),"[tt]:mm")),
IFERROR(
IF($G7-$V$8=0,
IF($G7-$V$8&gt;=0,TEXT($G7-$V$8,"[tt]:mm"),"-"&amp;TEXT(ABS($G7-$V$8),"[tt]:mm")),
IF($J7-$I7&gt;=0,TEXT($J7-$I7,"[tt]:mm"),"-"&amp;TEXT(ABS($J7-$I7),"[tt]:mm"))
),
IF(
$J7-$I7-$V$8&gt;=0,
TEXT($J7-$I7-$V$8,"[tt]:mm"),
"-"&amp;TEXT(ABS($J7-$I7-$V$8),"[tt]:mm")
)
)
)
)
))</f>
        <v>0:00</v>
      </c>
      <c r="L7" s="54" t="str">
        <f>LEFT(K7,1)</f>
        <v>0</v>
      </c>
      <c r="M7" s="58" t="str">
        <f>IF($L7="-",LEFT($K7,3),LEFT($K7,2))</f>
        <v>0:</v>
      </c>
      <c r="N7" s="51" t="str">
        <f>IF($L7="-",MID($K7,5,2),MID($K7,4,2))</f>
        <v>0</v>
      </c>
      <c r="O7" s="57">
        <f>N7/60</f>
        <v>0</v>
      </c>
      <c r="P7" s="6">
        <f>IF(L7="-",M7-O7,M7+O7)</f>
        <v>0</v>
      </c>
      <c r="Q7" s="68"/>
      <c r="R7" s="53"/>
      <c r="U7" t="s">
        <v>42</v>
      </c>
      <c r="V7" s="3">
        <f>B1/V6</f>
        <v>7.4</v>
      </c>
      <c r="W7">
        <v>0</v>
      </c>
      <c r="X7" s="8"/>
    </row>
    <row r="8" spans="1:24" ht="15.75" x14ac:dyDescent="0.25">
      <c r="A8" s="12">
        <f t="shared" ref="A8:A37" si="1">WEEKNUM($B8,21)</f>
        <v>31</v>
      </c>
      <c r="B8" s="13">
        <f>B7+1</f>
        <v>45506</v>
      </c>
      <c r="C8" s="14" t="str" cm="1">
        <f t="array" ref="C8">_xlfn.SWITCH(WEEKDAY($D8, 2), 1, "Monday", 2, "Tuesday", 3, "Wednesday", 4, "Thursday", 5, "Friday", 6, "Saturday", 7, "Sunday")</f>
        <v>Friday</v>
      </c>
      <c r="D8">
        <f t="shared" si="0"/>
        <v>6</v>
      </c>
      <c r="E8" s="42">
        <f t="shared" ref="E8:E37" si="2">$B8</f>
        <v>45506</v>
      </c>
      <c r="F8" s="15" t="s">
        <v>21</v>
      </c>
      <c r="G8" s="17">
        <f>IFERROR(
    IF($F8="N", $V$8,
        IF(OR(
            AND(Masterdata!$B$4&lt;&gt;DATE(1900,1,0), Masterdata!$B$4&lt;$E8),
            AND(Masterdata!$B$3&lt;&gt;DATE(1900,1,0), Masterdata!$B$3&gt;$E8)
        ),
        IF($H8&gt;=TIME(0,0,0), "Write in the next field", 0),
        IF($H8&gt;=TIME(0,0,0), "Write in the next field",
            IF($H8&gt;=0, 0,
                IF(OR($C8="Saturday", $C8="Sunday"), 0, 0)
            )
        )
    )),
"Write in the next field")</f>
        <v>0.30833333333333335</v>
      </c>
      <c r="H8" s="16">
        <v>0</v>
      </c>
      <c r="I8" s="16">
        <v>0</v>
      </c>
      <c r="J8" s="16">
        <v>0</v>
      </c>
      <c r="K8" s="63" t="str">
        <f>IF(F8="N","0:00",IF(
OR(
AND(Masterdata!$B$4&lt;&gt;DATE(1900,1,0),Masterdata!$B$4&lt;$E8),
AND(Masterdata!$B$3&lt;&gt;DATE(1900,1,0),Masterdata!$B$3&gt;$E8)
),
"0:00",
IF(
$H8&gt;TIME(0,0,0),
IF(
OR($C8="Saturday",$C8="Sunday"),
TEXT($H8,"[tt]:mm"),
IF($H8-$V$8&gt;=0,TEXT($H8-$V$8,"[tt]:mm"),"-"&amp;TEXT(ABS($H8-$V$8),"[tt]:mm"))
),
IF(
OR($C8="Saturday",$C8="Sunday"),
IF($J8-$I8&gt;=0,TEXT($J8-$I8,"[tt]:mm"),"-"&amp;TEXT(ABS($J8-$I8),"[tt]:mm")),
IFERROR(
IF($G8-$V$8=0,
IF($G8-$V$8&gt;=0,TEXT($G8-$V$8,"[tt]:mm"),"-"&amp;TEXT(ABS($G8-$V$8),"[tt]:mm")),
IF($J8-$I8&gt;=0,TEXT($J8-$I8,"[tt]:mm"),"-"&amp;TEXT(ABS($J8-$I8),"[tt]:mm"))
),
IF(
$J8-$I8-$V$8&gt;=0,
TEXT($J8-$I8-$V$8,"[tt]:mm"),
"-"&amp;TEXT(ABS($J8-$I8-$V$8),"[tt]:mm")
)
)
)
)
))</f>
        <v>0:00</v>
      </c>
      <c r="L8" s="54" t="str">
        <f t="shared" ref="L8:L37" si="3">LEFT(K8,1)</f>
        <v>0</v>
      </c>
      <c r="M8" s="58" t="str">
        <f t="shared" ref="M8:M37" si="4">IF($L8="-",LEFT($K8,3),LEFT($K8,2))</f>
        <v>0:</v>
      </c>
      <c r="N8" s="51" t="str">
        <f t="shared" ref="N8:N37" si="5">IF($L8="-",MID($K8,5,2),MID($K8,4,2))</f>
        <v>0</v>
      </c>
      <c r="O8" s="57">
        <f t="shared" ref="O8:O37" si="6">N8/60</f>
        <v>0</v>
      </c>
      <c r="P8" s="6">
        <f t="shared" ref="P8:P37" si="7">IF(L8="-",M8-O8,M8+O8)</f>
        <v>0</v>
      </c>
      <c r="Q8" s="69"/>
      <c r="U8" t="s">
        <v>43</v>
      </c>
      <c r="V8" s="8">
        <f>V7/24</f>
        <v>0.30833333333333335</v>
      </c>
    </row>
    <row r="9" spans="1:24" ht="15.75" x14ac:dyDescent="0.25">
      <c r="A9" s="12">
        <f t="shared" si="1"/>
        <v>31</v>
      </c>
      <c r="B9" s="13">
        <f t="shared" ref="B9:B37" si="8">B8+1</f>
        <v>45507</v>
      </c>
      <c r="C9" s="14" t="str" cm="1">
        <f t="array" ref="C9">_xlfn.SWITCH(WEEKDAY($D9, 2), 1, "Monday", 2, "Tuesday", 3, "Wednesday", 4, "Thursday", 5, "Friday", 6, "Saturday", 7, "Sunday")</f>
        <v>Saturday</v>
      </c>
      <c r="D9">
        <f t="shared" si="0"/>
        <v>7</v>
      </c>
      <c r="E9" s="42">
        <f t="shared" si="2"/>
        <v>45507</v>
      </c>
      <c r="F9" s="15" t="s">
        <v>21</v>
      </c>
      <c r="G9" s="17">
        <f>IF($F9="N",0,"Write in the next field")</f>
        <v>0</v>
      </c>
      <c r="H9" s="16">
        <v>0</v>
      </c>
      <c r="I9" s="16">
        <v>0</v>
      </c>
      <c r="J9" s="16">
        <v>0</v>
      </c>
      <c r="K9" s="63" t="str">
        <f>IF(F9="N","0:00",IF(
OR(
AND(Masterdata!$B$4&lt;&gt;DATE(1900,1,0),Masterdata!$B$4&lt;$E9),
AND(Masterdata!$B$3&lt;&gt;DATE(1900,1,0),Masterdata!$B$3&gt;$E9)
),
"0:00",
IF(
$H9&gt;TIME(0,0,0),
IF(
OR($C9="Saturday",$C9="Sunday"),
TEXT($H9,"[tt]:mm"),
IF($H9-$V$8&gt;=0,TEXT($H9-$V$8,"[tt]:mm"),"-"&amp;TEXT(ABS($H9-$V$8),"[tt]:mm"))
),
IF(
OR($C9="Saturday",$C9="Sunday"),
IF($J9-$I9&gt;=0,TEXT($J9-$I9,"[tt]:mm"),"-"&amp;TEXT(ABS($J9-$I9),"[tt]:mm")),
IFERROR(
IF($G9-$V$8=0,
IF($G9-$V$8&gt;=0,TEXT($G9-$V$8,"[tt]:mm"),"-"&amp;TEXT(ABS($G9-$V$8),"[tt]:mm")),
IF($J9-$I9&gt;=0,TEXT($J9-$I9,"[tt]:mm"),"-"&amp;TEXT(ABS($J9-$I9),"[tt]:mm"))
),
IF(
$J9-$I9-$V$8&gt;=0,
TEXT($J9-$I9-$V$8,"[tt]:mm"),
"-"&amp;TEXT(ABS($J9-$I9-$V$8),"[tt]:mm")
)
)
)
)
))</f>
        <v>0:00</v>
      </c>
      <c r="L9" s="54" t="str">
        <f t="shared" si="3"/>
        <v>0</v>
      </c>
      <c r="M9" s="58" t="str">
        <f t="shared" si="4"/>
        <v>0:</v>
      </c>
      <c r="N9" s="51" t="str">
        <f t="shared" si="5"/>
        <v>0</v>
      </c>
      <c r="O9" s="57">
        <f t="shared" si="6"/>
        <v>0</v>
      </c>
      <c r="P9" s="6">
        <f t="shared" si="7"/>
        <v>0</v>
      </c>
      <c r="Q9" s="69"/>
      <c r="S9" t="s">
        <v>21</v>
      </c>
      <c r="T9" t="s">
        <v>44</v>
      </c>
      <c r="U9" t="s">
        <v>45</v>
      </c>
      <c r="V9" s="6">
        <f>(B1/37)*160.33</f>
        <v>160.33000000000001</v>
      </c>
    </row>
    <row r="10" spans="1:24" ht="15.75" x14ac:dyDescent="0.25">
      <c r="A10" s="12">
        <f t="shared" si="1"/>
        <v>31</v>
      </c>
      <c r="B10" s="13">
        <f t="shared" si="8"/>
        <v>45508</v>
      </c>
      <c r="C10" s="14" t="str" cm="1">
        <f t="array" ref="C10">_xlfn.SWITCH(WEEKDAY($D10, 2), 1, "Monday", 2, "Tuesday", 3, "Wednesday", 4, "Thursday", 5, "Friday", 6, "Saturday", 7, "Sunday")</f>
        <v>Sunday</v>
      </c>
      <c r="D10">
        <f t="shared" si="0"/>
        <v>8</v>
      </c>
      <c r="E10" s="42">
        <f t="shared" si="2"/>
        <v>45508</v>
      </c>
      <c r="F10" s="15" t="s">
        <v>21</v>
      </c>
      <c r="G10" s="17">
        <f>IF($F10="N",0,"Write in the next field")</f>
        <v>0</v>
      </c>
      <c r="H10" s="16">
        <v>0</v>
      </c>
      <c r="I10" s="16">
        <v>0</v>
      </c>
      <c r="J10" s="16">
        <v>0</v>
      </c>
      <c r="K10" s="63" t="str">
        <f>IF(F10="N","0:00",IF(
OR(
AND(Masterdata!$B$4&lt;&gt;DATE(1900,1,0),Masterdata!$B$4&lt;$E10),
AND(Masterdata!$B$3&lt;&gt;DATE(1900,1,0),Masterdata!$B$3&gt;$E10)
),
"0:00",
IF(
$H10&gt;TIME(0,0,0),
IF(
OR($C10="Saturday",$C10="Sunday"),
TEXT($H10,"[tt]:mm"),
IF($H10-$V$8&gt;=0,TEXT($H10-$V$8,"[tt]:mm"),"-"&amp;TEXT(ABS($H10-$V$8),"[tt]:mm"))
),
IF(
OR($C10="Saturday",$C10="Sunday"),
IF($J10-$I10&gt;=0,TEXT($J10-$I10,"[tt]:mm"),"-"&amp;TEXT(ABS($J10-$I10),"[tt]:mm")),
IFERROR(
IF($G10-$V$8=0,
IF($G10-$V$8&gt;=0,TEXT($G10-$V$8,"[tt]:mm"),"-"&amp;TEXT(ABS($G10-$V$8),"[tt]:mm")),
IF($J10-$I10&gt;=0,TEXT($J10-$I10,"[tt]:mm"),"-"&amp;TEXT(ABS($J10-$I10),"[tt]:mm"))
),
IF(
$J10-$I10-$V$8&gt;=0,
TEXT($J10-$I10-$V$8,"[tt]:mm"),
"-"&amp;TEXT(ABS($J10-$I10-$V$8),"[tt]:mm")
)
)
)
)
))</f>
        <v>0:00</v>
      </c>
      <c r="L10" s="54" t="str">
        <f t="shared" si="3"/>
        <v>0</v>
      </c>
      <c r="M10" s="58" t="str">
        <f t="shared" si="4"/>
        <v>0:</v>
      </c>
      <c r="N10" s="51" t="str">
        <f t="shared" si="5"/>
        <v>0</v>
      </c>
      <c r="O10" s="57">
        <f t="shared" si="6"/>
        <v>0</v>
      </c>
      <c r="P10" s="6">
        <f t="shared" si="7"/>
        <v>0</v>
      </c>
      <c r="Q10" s="69"/>
    </row>
    <row r="11" spans="1:24" ht="15.75" x14ac:dyDescent="0.25">
      <c r="A11" s="12">
        <f t="shared" si="1"/>
        <v>32</v>
      </c>
      <c r="B11" s="13">
        <f t="shared" si="8"/>
        <v>45509</v>
      </c>
      <c r="C11" s="14" t="str" cm="1">
        <f t="array" ref="C11">_xlfn.SWITCH(WEEKDAY($D11, 2), 1, "Monday", 2, "Tuesday", 3, "Wednesday", 4, "Thursday", 5, "Friday", 6, "Saturday", 7, "Sunday")</f>
        <v>Monday</v>
      </c>
      <c r="D11">
        <f t="shared" si="0"/>
        <v>2</v>
      </c>
      <c r="E11" s="42">
        <f t="shared" si="2"/>
        <v>45509</v>
      </c>
      <c r="F11" s="15" t="s">
        <v>21</v>
      </c>
      <c r="G11" s="17">
        <f>IFERROR(
    IF($F11="N", $V$8,
        IF(OR(
            AND(Masterdata!$B$4&lt;&gt;DATE(1900,1,0), Masterdata!$B$4&lt;$E11),
            AND(Masterdata!$B$3&lt;&gt;DATE(1900,1,0), Masterdata!$B$3&gt;$E11)
        ),
        IF($H11&gt;=TIME(0,0,0), "Write in the next field", 0),
        IF($H11&gt;=TIME(0,0,0), "Write in the next field",
            IF($H11&gt;=0, 0,
                IF(OR($C11="Saturday", $C11="Sunday"), 0, 0)
            )
        )
    )),
"Write in the next field")</f>
        <v>0.30833333333333335</v>
      </c>
      <c r="H11" s="16">
        <v>0</v>
      </c>
      <c r="I11" s="16">
        <v>0</v>
      </c>
      <c r="J11" s="16">
        <v>0</v>
      </c>
      <c r="K11" s="63" t="str">
        <f>IF(F11="N","0:00",IF(
OR(
AND(Masterdata!$B$4&lt;&gt;DATE(1900,1,0),Masterdata!$B$4&lt;$E11),
AND(Masterdata!$B$3&lt;&gt;DATE(1900,1,0),Masterdata!$B$3&gt;$E11)
),
"0:00",
IF(
$H11&gt;TIME(0,0,0),
IF(
OR($C11="Saturday",$C11="Sunday"),
TEXT($H11,"[tt]:mm"),
IF($H11-$V$8&gt;=0,TEXT($H11-$V$8,"[tt]:mm"),"-"&amp;TEXT(ABS($H11-$V$8),"[tt]:mm"))
),
IF(
OR($C11="Saturday",$C11="Sunday"),
IF($J11-$I11&gt;=0,TEXT($J11-$I11,"[tt]:mm"),"-"&amp;TEXT(ABS($J11-$I11),"[tt]:mm")),
IFERROR(
IF($G11-$V$8=0,
IF($G11-$V$8&gt;=0,TEXT($G11-$V$8,"[tt]:mm"),"-"&amp;TEXT(ABS($G11-$V$8),"[tt]:mm")),
IF($J11-$I11&gt;=0,TEXT($J11-$I11,"[tt]:mm"),"-"&amp;TEXT(ABS($J11-$I11),"[tt]:mm"))
),
IF(
$J11-$I11-$V$8&gt;=0,
TEXT($J11-$I11-$V$8,"[tt]:mm"),
"-"&amp;TEXT(ABS($J11-$I11-$V$8),"[tt]:mm")
)
)
)
)
))</f>
        <v>0:00</v>
      </c>
      <c r="L11" s="54" t="str">
        <f t="shared" si="3"/>
        <v>0</v>
      </c>
      <c r="M11" s="58" t="str">
        <f t="shared" si="4"/>
        <v>0:</v>
      </c>
      <c r="N11" s="51" t="str">
        <f t="shared" si="5"/>
        <v>0</v>
      </c>
      <c r="O11" s="57">
        <f t="shared" si="6"/>
        <v>0</v>
      </c>
      <c r="P11" s="6">
        <f t="shared" si="7"/>
        <v>0</v>
      </c>
      <c r="Q11" s="69"/>
      <c r="V11" s="6"/>
    </row>
    <row r="12" spans="1:24" ht="15.75" x14ac:dyDescent="0.25">
      <c r="A12" s="12">
        <f t="shared" si="1"/>
        <v>32</v>
      </c>
      <c r="B12" s="13">
        <f t="shared" si="8"/>
        <v>45510</v>
      </c>
      <c r="C12" s="14" t="str" cm="1">
        <f t="array" ref="C12">_xlfn.SWITCH(WEEKDAY($D12, 2), 1, "Monday", 2, "Tuesday", 3, "Wednesday", 4, "Thursday", 5, "Friday", 6, "Saturday", 7, "Sunday")</f>
        <v>Tuesday</v>
      </c>
      <c r="D12">
        <f t="shared" si="0"/>
        <v>3</v>
      </c>
      <c r="E12" s="42">
        <f t="shared" si="2"/>
        <v>45510</v>
      </c>
      <c r="F12" s="15" t="s">
        <v>21</v>
      </c>
      <c r="G12" s="17">
        <f>IFERROR(
    IF($F12="N", $V$8,
        IF(OR(
            AND(Masterdata!$B$4&lt;&gt;DATE(1900,1,0), Masterdata!$B$4&lt;$E12),
            AND(Masterdata!$B$3&lt;&gt;DATE(1900,1,0), Masterdata!$B$3&gt;$E12)
        ),
        IF($H12&gt;=TIME(0,0,0), "Write in the next field", 0),
        IF($H12&gt;=TIME(0,0,0), "Write in the next field",
            IF($H12&gt;=0, 0,
                IF(OR($C12="Saturday", $C12="Sunday"), 0, 0)
            )
        )
    )),
"Write in the next field")</f>
        <v>0.30833333333333335</v>
      </c>
      <c r="H12" s="16">
        <v>0</v>
      </c>
      <c r="I12" s="16">
        <v>0</v>
      </c>
      <c r="J12" s="16">
        <v>0</v>
      </c>
      <c r="K12" s="63" t="str">
        <f>IF(F12="N","0:00",IF(
OR(
AND(Masterdata!$B$4&lt;&gt;DATE(1900,1,0),Masterdata!$B$4&lt;$E12),
AND(Masterdata!$B$3&lt;&gt;DATE(1900,1,0),Masterdata!$B$3&gt;$E12)
),
"0:00",
IF(
$H12&gt;TIME(0,0,0),
IF(
OR($C12="Saturday",$C12="Sunday"),
TEXT($H12,"[tt]:mm"),
IF($H12-$V$8&gt;=0,TEXT($H12-$V$8,"[tt]:mm"),"-"&amp;TEXT(ABS($H12-$V$8),"[tt]:mm"))
),
IF(
OR($C12="Saturday",$C12="Sunday"),
IF($J12-$I12&gt;=0,TEXT($J12-$I12,"[tt]:mm"),"-"&amp;TEXT(ABS($J12-$I12),"[tt]:mm")),
IFERROR(
IF($G12-$V$8=0,
IF($G12-$V$8&gt;=0,TEXT($G12-$V$8,"[tt]:mm"),"-"&amp;TEXT(ABS($G12-$V$8),"[tt]:mm")),
IF($J12-$I12&gt;=0,TEXT($J12-$I12,"[tt]:mm"),"-"&amp;TEXT(ABS($J12-$I12),"[tt]:mm"))
),
IF(
$J12-$I12-$V$8&gt;=0,
TEXT($J12-$I12-$V$8,"[tt]:mm"),
"-"&amp;TEXT(ABS($J12-$I12-$V$8),"[tt]:mm")
)
)
)
)
))</f>
        <v>0:00</v>
      </c>
      <c r="L12" s="54" t="str">
        <f t="shared" si="3"/>
        <v>0</v>
      </c>
      <c r="M12" s="58" t="str">
        <f t="shared" si="4"/>
        <v>0:</v>
      </c>
      <c r="N12" s="51" t="str">
        <f t="shared" si="5"/>
        <v>0</v>
      </c>
      <c r="O12" s="57">
        <f t="shared" si="6"/>
        <v>0</v>
      </c>
      <c r="P12" s="6">
        <f t="shared" si="7"/>
        <v>0</v>
      </c>
      <c r="Q12" s="69"/>
      <c r="V12" s="38"/>
    </row>
    <row r="13" spans="1:24" ht="15.75" x14ac:dyDescent="0.25">
      <c r="A13" s="12">
        <f t="shared" si="1"/>
        <v>32</v>
      </c>
      <c r="B13" s="13">
        <f t="shared" si="8"/>
        <v>45511</v>
      </c>
      <c r="C13" s="14" t="str" cm="1">
        <f t="array" ref="C13">_xlfn.SWITCH(WEEKDAY($D13, 2), 1, "Monday", 2, "Tuesday", 3, "Wednesday", 4, "Thursday", 5, "Friday", 6, "Saturday", 7, "Sunday")</f>
        <v>Wednesday</v>
      </c>
      <c r="D13">
        <f t="shared" si="0"/>
        <v>4</v>
      </c>
      <c r="E13" s="42">
        <f t="shared" si="2"/>
        <v>45511</v>
      </c>
      <c r="F13" s="15" t="s">
        <v>21</v>
      </c>
      <c r="G13" s="17">
        <f>IFERROR(
    IF($F13="N", $V$8,
        IF(OR(
            AND(Masterdata!$B$4&lt;&gt;DATE(1900,1,0), Masterdata!$B$4&lt;$E13),
            AND(Masterdata!$B$3&lt;&gt;DATE(1900,1,0), Masterdata!$B$3&gt;$E13)
        ),
        IF($H13&gt;=TIME(0,0,0), "Write in the next field", 0),
        IF($H13&gt;=TIME(0,0,0), "Write in the next field",
            IF($H13&gt;=0, 0,
                IF(OR($C13="Saturday", $C13="Sunday"), 0, 0)
            )
        )
    )),
"Write in the next field")</f>
        <v>0.30833333333333335</v>
      </c>
      <c r="H13" s="16">
        <v>0</v>
      </c>
      <c r="I13" s="16">
        <v>0.5</v>
      </c>
      <c r="J13" s="16">
        <v>0.5</v>
      </c>
      <c r="K13" s="63" t="str">
        <f>IF(F13="N","0:00",IF(
OR(
AND(Masterdata!$B$4&lt;&gt;DATE(1900,1,0),Masterdata!$B$4&lt;$E13),
AND(Masterdata!$B$3&lt;&gt;DATE(1900,1,0),Masterdata!$B$3&gt;$E13)
),
"0:00",
IF(
$H13&gt;TIME(0,0,0),
IF(
OR($C13="Saturday",$C13="Sunday"),
TEXT($H13,"[tt]:mm"),
IF($H13-$V$8&gt;=0,TEXT($H13-$V$8,"[tt]:mm"),"-"&amp;TEXT(ABS($H13-$V$8),"[tt]:mm"))
),
IF(
OR($C13="Saturday",$C13="Sunday"),
IF($J13-$I13&gt;=0,TEXT($J13-$I13,"[tt]:mm"),"-"&amp;TEXT(ABS($J13-$I13),"[tt]:mm")),
IFERROR(
IF($G13-$V$8=0,
IF($G13-$V$8&gt;=0,TEXT($G13-$V$8,"[tt]:mm"),"-"&amp;TEXT(ABS($G13-$V$8),"[tt]:mm")),
IF($J13-$I13&gt;=0,TEXT($J13-$I13,"[tt]:mm"),"-"&amp;TEXT(ABS($J13-$I13),"[tt]:mm"))
),
IF(
$J13-$I13-$V$8&gt;=0,
TEXT($J13-$I13-$V$8,"[tt]:mm"),
"-"&amp;TEXT(ABS($J13-$I13-$V$8),"[tt]:mm")
)
)
)
)
))</f>
        <v>0:00</v>
      </c>
      <c r="L13" s="54" t="str">
        <f t="shared" si="3"/>
        <v>0</v>
      </c>
      <c r="M13" s="58" t="str">
        <f t="shared" si="4"/>
        <v>0:</v>
      </c>
      <c r="N13" s="51" t="str">
        <f t="shared" si="5"/>
        <v>0</v>
      </c>
      <c r="O13" s="57">
        <f t="shared" si="6"/>
        <v>0</v>
      </c>
      <c r="P13" s="6">
        <f t="shared" si="7"/>
        <v>0</v>
      </c>
      <c r="Q13" s="69"/>
    </row>
    <row r="14" spans="1:24" ht="15.75" x14ac:dyDescent="0.25">
      <c r="A14" s="12">
        <f t="shared" si="1"/>
        <v>32</v>
      </c>
      <c r="B14" s="13">
        <f t="shared" si="8"/>
        <v>45512</v>
      </c>
      <c r="C14" s="14" t="str" cm="1">
        <f t="array" ref="C14">_xlfn.SWITCH(WEEKDAY($D14, 2), 1, "Monday", 2, "Tuesday", 3, "Wednesday", 4, "Thursday", 5, "Friday", 6, "Saturday", 7, "Sunday")</f>
        <v>Thursday</v>
      </c>
      <c r="D14">
        <f t="shared" si="0"/>
        <v>5</v>
      </c>
      <c r="E14" s="42">
        <f t="shared" si="2"/>
        <v>45512</v>
      </c>
      <c r="F14" s="15" t="s">
        <v>21</v>
      </c>
      <c r="G14" s="17">
        <f>IFERROR(
    IF($F14="N", $V$8,
        IF(OR(
            AND(Masterdata!$B$4&lt;&gt;DATE(1900,1,0), Masterdata!$B$4&lt;$E14),
            AND(Masterdata!$B$3&lt;&gt;DATE(1900,1,0), Masterdata!$B$3&gt;$E14)
        ),
        IF($H14&gt;=TIME(0,0,0), "Write in the next field", 0),
        IF($H14&gt;=TIME(0,0,0), "Write in the next field",
            IF($H14&gt;=0, 0,
                IF(OR($C14="Saturday", $C14="Sunday"), 0, 0)
            )
        )
    )),
"Write in the next field")</f>
        <v>0.30833333333333335</v>
      </c>
      <c r="H14" s="16">
        <v>0</v>
      </c>
      <c r="I14" s="16">
        <v>0</v>
      </c>
      <c r="J14" s="16">
        <v>0</v>
      </c>
      <c r="K14" s="63" t="str">
        <f>IF(F14="N","0:00",IF(
OR(
AND(Masterdata!$B$4&lt;&gt;DATE(1900,1,0),Masterdata!$B$4&lt;$E14),
AND(Masterdata!$B$3&lt;&gt;DATE(1900,1,0),Masterdata!$B$3&gt;$E14)
),
"0:00",
IF(
$H14&gt;TIME(0,0,0),
IF(
OR($C14="Saturday",$C14="Sunday"),
TEXT($H14,"[tt]:mm"),
IF($H14-$V$8&gt;=0,TEXT($H14-$V$8,"[tt]:mm"),"-"&amp;TEXT(ABS($H14-$V$8),"[tt]:mm"))
),
IF(
OR($C14="Saturday",$C14="Sunday"),
IF($J14-$I14&gt;=0,TEXT($J14-$I14,"[tt]:mm"),"-"&amp;TEXT(ABS($J14-$I14),"[tt]:mm")),
IFERROR(
IF($G14-$V$8=0,
IF($G14-$V$8&gt;=0,TEXT($G14-$V$8,"[tt]:mm"),"-"&amp;TEXT(ABS($G14-$V$8),"[tt]:mm")),
IF($J14-$I14&gt;=0,TEXT($J14-$I14,"[tt]:mm"),"-"&amp;TEXT(ABS($J14-$I14),"[tt]:mm"))
),
IF(
$J14-$I14-$V$8&gt;=0,
TEXT($J14-$I14-$V$8,"[tt]:mm"),
"-"&amp;TEXT(ABS($J14-$I14-$V$8),"[tt]:mm")
)
)
)
)
))</f>
        <v>0:00</v>
      </c>
      <c r="L14" s="54" t="str">
        <f t="shared" si="3"/>
        <v>0</v>
      </c>
      <c r="M14" s="58" t="str">
        <f t="shared" si="4"/>
        <v>0:</v>
      </c>
      <c r="N14" s="51" t="str">
        <f t="shared" si="5"/>
        <v>0</v>
      </c>
      <c r="O14" s="57">
        <f t="shared" si="6"/>
        <v>0</v>
      </c>
      <c r="P14" s="6">
        <f t="shared" si="7"/>
        <v>0</v>
      </c>
      <c r="Q14" s="69"/>
      <c r="S14" t="s">
        <v>46</v>
      </c>
      <c r="T14" t="s">
        <v>47</v>
      </c>
      <c r="U14" t="s">
        <v>48</v>
      </c>
      <c r="V14" s="6">
        <f>V9-V12</f>
        <v>160.33000000000001</v>
      </c>
    </row>
    <row r="15" spans="1:24" ht="15.75" x14ac:dyDescent="0.25">
      <c r="A15" s="12">
        <f t="shared" si="1"/>
        <v>32</v>
      </c>
      <c r="B15" s="13">
        <f t="shared" si="8"/>
        <v>45513</v>
      </c>
      <c r="C15" s="14" t="str" cm="1">
        <f t="array" ref="C15">_xlfn.SWITCH(WEEKDAY($D15, 2), 1, "Monday", 2, "Tuesday", 3, "Wednesday", 4, "Thursday", 5, "Friday", 6, "Saturday", 7, "Sunday")</f>
        <v>Friday</v>
      </c>
      <c r="D15">
        <f t="shared" si="0"/>
        <v>6</v>
      </c>
      <c r="E15" s="42">
        <f t="shared" si="2"/>
        <v>45513</v>
      </c>
      <c r="F15" s="15" t="s">
        <v>21</v>
      </c>
      <c r="G15" s="17">
        <f>IFERROR(
    IF($F15="N", $V$8,
        IF(OR(
            AND(Masterdata!$B$4&lt;&gt;DATE(1900,1,0), Masterdata!$B$4&lt;$E15),
            AND(Masterdata!$B$3&lt;&gt;DATE(1900,1,0), Masterdata!$B$3&gt;$E15)
        ),
        IF($H15&gt;=TIME(0,0,0), "Write in the next field", 0),
        IF($H15&gt;=TIME(0,0,0), "Write in the next field",
            IF($H15&gt;=0, 0,
                IF(OR($C15="Saturday", $C15="Sunday"), 0, 0)
            )
        )
    )),
"Write in the next field")</f>
        <v>0.30833333333333335</v>
      </c>
      <c r="H15" s="16">
        <v>0</v>
      </c>
      <c r="I15" s="16">
        <v>0</v>
      </c>
      <c r="J15" s="16">
        <v>0</v>
      </c>
      <c r="K15" s="63" t="str">
        <f>IF(F15="N","0:00",IF(
OR(
AND(Masterdata!$B$4&lt;&gt;DATE(1900,1,0),Masterdata!$B$4&lt;$E15),
AND(Masterdata!$B$3&lt;&gt;DATE(1900,1,0),Masterdata!$B$3&gt;$E15)
),
"0:00",
IF(
$H15&gt;TIME(0,0,0),
IF(
OR($C15="Saturday",$C15="Sunday"),
TEXT($H15,"[tt]:mm"),
IF($H15-$V$8&gt;=0,TEXT($H15-$V$8,"[tt]:mm"),"-"&amp;TEXT(ABS($H15-$V$8),"[tt]:mm"))
),
IF(
OR($C15="Saturday",$C15="Sunday"),
IF($J15-$I15&gt;=0,TEXT($J15-$I15,"[tt]:mm"),"-"&amp;TEXT(ABS($J15-$I15),"[tt]:mm")),
IFERROR(
IF($G15-$V$8=0,
IF($G15-$V$8&gt;=0,TEXT($G15-$V$8,"[tt]:mm"),"-"&amp;TEXT(ABS($G15-$V$8),"[tt]:mm")),
IF($J15-$I15&gt;=0,TEXT($J15-$I15,"[tt]:mm"),"-"&amp;TEXT(ABS($J15-$I15),"[tt]:mm"))
),
IF(
$J15-$I15-$V$8&gt;=0,
TEXT($J15-$I15-$V$8,"[tt]:mm"),
"-"&amp;TEXT(ABS($J15-$I15-$V$8),"[tt]:mm")
)
)
)
)
))</f>
        <v>0:00</v>
      </c>
      <c r="L15" s="54" t="str">
        <f t="shared" si="3"/>
        <v>0</v>
      </c>
      <c r="M15" s="58" t="str">
        <f t="shared" si="4"/>
        <v>0:</v>
      </c>
      <c r="N15" s="51" t="str">
        <f t="shared" si="5"/>
        <v>0</v>
      </c>
      <c r="O15" s="57">
        <f t="shared" si="6"/>
        <v>0</v>
      </c>
      <c r="P15" s="6">
        <f t="shared" si="7"/>
        <v>0</v>
      </c>
      <c r="Q15" s="69"/>
      <c r="S15" t="s">
        <v>49</v>
      </c>
      <c r="T15" t="s">
        <v>50</v>
      </c>
      <c r="U15" t="s">
        <v>51</v>
      </c>
      <c r="V15" s="6" t="e">
        <f>SUM(#REF!)</f>
        <v>#REF!</v>
      </c>
    </row>
    <row r="16" spans="1:24" ht="15.75" x14ac:dyDescent="0.25">
      <c r="A16" s="12">
        <f t="shared" si="1"/>
        <v>32</v>
      </c>
      <c r="B16" s="13">
        <f t="shared" si="8"/>
        <v>45514</v>
      </c>
      <c r="C16" s="14" t="str" cm="1">
        <f t="array" ref="C16">_xlfn.SWITCH(WEEKDAY($D16, 2), 1, "Monday", 2, "Tuesday", 3, "Wednesday", 4, "Thursday", 5, "Friday", 6, "Saturday", 7, "Sunday")</f>
        <v>Saturday</v>
      </c>
      <c r="D16">
        <f t="shared" si="0"/>
        <v>7</v>
      </c>
      <c r="E16" s="42">
        <f t="shared" si="2"/>
        <v>45514</v>
      </c>
      <c r="F16" s="15" t="s">
        <v>21</v>
      </c>
      <c r="G16" s="17">
        <f>IF($F16="N",0,"Write in the next field")</f>
        <v>0</v>
      </c>
      <c r="H16" s="16">
        <v>0</v>
      </c>
      <c r="I16" s="16">
        <v>0</v>
      </c>
      <c r="J16" s="16">
        <v>0</v>
      </c>
      <c r="K16" s="63" t="str">
        <f>IF(F16="N","0:00",IF(
OR(
AND(Masterdata!$B$4&lt;&gt;DATE(1900,1,0),Masterdata!$B$4&lt;$E16),
AND(Masterdata!$B$3&lt;&gt;DATE(1900,1,0),Masterdata!$B$3&gt;$E16)
),
"0:00",
IF(
$H16&gt;TIME(0,0,0),
IF(
OR($C16="Saturday",$C16="Sunday"),
TEXT($H16,"[tt]:mm"),
IF($H16-$V$8&gt;=0,TEXT($H16-$V$8,"[tt]:mm"),"-"&amp;TEXT(ABS($H16-$V$8),"[tt]:mm"))
),
IF(
OR($C16="Saturday",$C16="Sunday"),
IF($J16-$I16&gt;=0,TEXT($J16-$I16,"[tt]:mm"),"-"&amp;TEXT(ABS($J16-$I16),"[tt]:mm")),
IFERROR(
IF($G16-$V$8=0,
IF($G16-$V$8&gt;=0,TEXT($G16-$V$8,"[tt]:mm"),"-"&amp;TEXT(ABS($G16-$V$8),"[tt]:mm")),
IF($J16-$I16&gt;=0,TEXT($J16-$I16,"[tt]:mm"),"-"&amp;TEXT(ABS($J16-$I16),"[tt]:mm"))
),
IF(
$J16-$I16-$V$8&gt;=0,
TEXT($J16-$I16-$V$8,"[tt]:mm"),
"-"&amp;TEXT(ABS($J16-$I16-$V$8),"[tt]:mm")
)
)
)
)
))</f>
        <v>0:00</v>
      </c>
      <c r="L16" s="54" t="str">
        <f t="shared" si="3"/>
        <v>0</v>
      </c>
      <c r="M16" s="58" t="str">
        <f t="shared" si="4"/>
        <v>0:</v>
      </c>
      <c r="N16" s="51" t="str">
        <f t="shared" si="5"/>
        <v>0</v>
      </c>
      <c r="O16" s="57">
        <f t="shared" si="6"/>
        <v>0</v>
      </c>
      <c r="P16" s="6">
        <f t="shared" si="7"/>
        <v>0</v>
      </c>
      <c r="Q16" s="69"/>
      <c r="S16" t="s">
        <v>23</v>
      </c>
      <c r="T16" t="s">
        <v>52</v>
      </c>
      <c r="U16" t="s">
        <v>53</v>
      </c>
      <c r="V16" s="6" t="e">
        <f>V14-V15</f>
        <v>#REF!</v>
      </c>
    </row>
    <row r="17" spans="1:21" ht="15.75" x14ac:dyDescent="0.25">
      <c r="A17" s="12">
        <f t="shared" si="1"/>
        <v>32</v>
      </c>
      <c r="B17" s="13">
        <f t="shared" si="8"/>
        <v>45515</v>
      </c>
      <c r="C17" s="14" t="str" cm="1">
        <f t="array" ref="C17">_xlfn.SWITCH(WEEKDAY($D17, 2), 1, "Monday", 2, "Tuesday", 3, "Wednesday", 4, "Thursday", 5, "Friday", 6, "Saturday", 7, "Sunday")</f>
        <v>Sunday</v>
      </c>
      <c r="D17">
        <f t="shared" si="0"/>
        <v>8</v>
      </c>
      <c r="E17" s="42">
        <f t="shared" si="2"/>
        <v>45515</v>
      </c>
      <c r="F17" s="15" t="s">
        <v>21</v>
      </c>
      <c r="G17" s="17">
        <f>IF($F17="N",0,"Write in the next field")</f>
        <v>0</v>
      </c>
      <c r="H17" s="16">
        <v>0</v>
      </c>
      <c r="I17" s="16">
        <v>0</v>
      </c>
      <c r="J17" s="16">
        <v>0</v>
      </c>
      <c r="K17" s="63" t="str">
        <f>IF(F17="N","0:00",IF(
OR(
AND(Masterdata!$B$4&lt;&gt;DATE(1900,1,0),Masterdata!$B$4&lt;$E17),
AND(Masterdata!$B$3&lt;&gt;DATE(1900,1,0),Masterdata!$B$3&gt;$E17)
),
"0:00",
IF(
$H17&gt;TIME(0,0,0),
IF(
OR($C17="Saturday",$C17="Sunday"),
TEXT($H17,"[tt]:mm"),
IF($H17-$V$8&gt;=0,TEXT($H17-$V$8,"[tt]:mm"),"-"&amp;TEXT(ABS($H17-$V$8),"[tt]:mm"))
),
IF(
OR($C17="Saturday",$C17="Sunday"),
IF($J17-$I17&gt;=0,TEXT($J17-$I17,"[tt]:mm"),"-"&amp;TEXT(ABS($J17-$I17),"[tt]:mm")),
IFERROR(
IF($G17-$V$8=0,
IF($G17-$V$8&gt;=0,TEXT($G17-$V$8,"[tt]:mm"),"-"&amp;TEXT(ABS($G17-$V$8),"[tt]:mm")),
IF($J17-$I17&gt;=0,TEXT($J17-$I17,"[tt]:mm"),"-"&amp;TEXT(ABS($J17-$I17),"[tt]:mm"))
),
IF(
$J17-$I17-$V$8&gt;=0,
TEXT($J17-$I17-$V$8,"[tt]:mm"),
"-"&amp;TEXT(ABS($J17-$I17-$V$8),"[tt]:mm")
)
)
)
)
))</f>
        <v>0:00</v>
      </c>
      <c r="L17" s="54" t="str">
        <f t="shared" si="3"/>
        <v>0</v>
      </c>
      <c r="M17" s="58" t="str">
        <f t="shared" si="4"/>
        <v>0:</v>
      </c>
      <c r="N17" s="51" t="str">
        <f t="shared" si="5"/>
        <v>0</v>
      </c>
      <c r="O17" s="57">
        <f t="shared" si="6"/>
        <v>0</v>
      </c>
      <c r="P17" s="6">
        <f t="shared" si="7"/>
        <v>0</v>
      </c>
      <c r="Q17" s="69"/>
      <c r="U17" s="42"/>
    </row>
    <row r="18" spans="1:21" ht="15.75" x14ac:dyDescent="0.25">
      <c r="A18" s="12">
        <f t="shared" si="1"/>
        <v>33</v>
      </c>
      <c r="B18" s="13">
        <f t="shared" si="8"/>
        <v>45516</v>
      </c>
      <c r="C18" s="14" t="str" cm="1">
        <f t="array" ref="C18">_xlfn.SWITCH(WEEKDAY($D18, 2), 1, "Monday", 2, "Tuesday", 3, "Wednesday", 4, "Thursday", 5, "Friday", 6, "Saturday", 7, "Sunday")</f>
        <v>Monday</v>
      </c>
      <c r="D18">
        <f t="shared" si="0"/>
        <v>2</v>
      </c>
      <c r="E18" s="42">
        <f t="shared" si="2"/>
        <v>45516</v>
      </c>
      <c r="F18" s="15" t="s">
        <v>21</v>
      </c>
      <c r="G18" s="17">
        <f>IFERROR(
    IF($F18="N", $V$8,
        IF(OR(
            AND(Masterdata!$B$4&lt;&gt;DATE(1900,1,0), Masterdata!$B$4&lt;$E18),
            AND(Masterdata!$B$3&lt;&gt;DATE(1900,1,0), Masterdata!$B$3&gt;$E18)
        ),
        IF($H18&gt;=TIME(0,0,0), "Write in the next field", 0),
        IF($H18&gt;=TIME(0,0,0), "Write in the next field",
            IF($H18&gt;=0, 0,
                IF(OR($C18="Saturday", $C18="Sunday"), 0, 0)
            )
        )
    )),
"Write in the next field")</f>
        <v>0.30833333333333335</v>
      </c>
      <c r="H18" s="16">
        <v>0</v>
      </c>
      <c r="I18" s="16">
        <v>0</v>
      </c>
      <c r="J18" s="16">
        <v>0</v>
      </c>
      <c r="K18" s="63" t="str">
        <f>IF(F18="N","0:00",IF(
OR(
AND(Masterdata!$B$4&lt;&gt;DATE(1900,1,0),Masterdata!$B$4&lt;$E18),
AND(Masterdata!$B$3&lt;&gt;DATE(1900,1,0),Masterdata!$B$3&gt;$E18)
),
"0:00",
IF(
$H18&gt;TIME(0,0,0),
IF(
OR($C18="Saturday",$C18="Sunday"),
TEXT($H18,"[tt]:mm"),
IF($H18-$V$8&gt;=0,TEXT($H18-$V$8,"[tt]:mm"),"-"&amp;TEXT(ABS($H18-$V$8),"[tt]:mm"))
),
IF(
OR($C18="Saturday",$C18="Sunday"),
IF($J18-$I18&gt;=0,TEXT($J18-$I18,"[tt]:mm"),"-"&amp;TEXT(ABS($J18-$I18),"[tt]:mm")),
IFERROR(
IF($G18-$V$8=0,
IF($G18-$V$8&gt;=0,TEXT($G18-$V$8,"[tt]:mm"),"-"&amp;TEXT(ABS($G18-$V$8),"[tt]:mm")),
IF($J18-$I18&gt;=0,TEXT($J18-$I18,"[tt]:mm"),"-"&amp;TEXT(ABS($J18-$I18),"[tt]:mm"))
),
IF(
$J18-$I18-$V$8&gt;=0,
TEXT($J18-$I18-$V$8,"[tt]:mm"),
"-"&amp;TEXT(ABS($J18-$I18-$V$8),"[tt]:mm")
)
)
)
)
))</f>
        <v>0:00</v>
      </c>
      <c r="L18" s="54" t="str">
        <f t="shared" si="3"/>
        <v>0</v>
      </c>
      <c r="M18" s="58" t="str">
        <f t="shared" si="4"/>
        <v>0:</v>
      </c>
      <c r="N18" s="51" t="str">
        <f t="shared" si="5"/>
        <v>0</v>
      </c>
      <c r="O18" s="57">
        <f t="shared" si="6"/>
        <v>0</v>
      </c>
      <c r="P18" s="6">
        <f t="shared" si="7"/>
        <v>0</v>
      </c>
      <c r="Q18" s="69"/>
      <c r="R18" s="52"/>
    </row>
    <row r="19" spans="1:21" ht="15.75" x14ac:dyDescent="0.25">
      <c r="A19" s="12">
        <f t="shared" si="1"/>
        <v>33</v>
      </c>
      <c r="B19" s="13">
        <f t="shared" si="8"/>
        <v>45517</v>
      </c>
      <c r="C19" s="14" t="str" cm="1">
        <f t="array" ref="C19">_xlfn.SWITCH(WEEKDAY($D19, 2), 1, "Monday", 2, "Tuesday", 3, "Wednesday", 4, "Thursday", 5, "Friday", 6, "Saturday", 7, "Sunday")</f>
        <v>Tuesday</v>
      </c>
      <c r="D19">
        <f t="shared" si="0"/>
        <v>3</v>
      </c>
      <c r="E19" s="42">
        <f t="shared" si="2"/>
        <v>45517</v>
      </c>
      <c r="F19" s="15" t="s">
        <v>21</v>
      </c>
      <c r="G19" s="17">
        <f>IFERROR(
    IF($F19="N", $V$8,
        IF(OR(
            AND(Masterdata!$B$4&lt;&gt;DATE(1900,1,0), Masterdata!$B$4&lt;$E19),
            AND(Masterdata!$B$3&lt;&gt;DATE(1900,1,0), Masterdata!$B$3&gt;$E19)
        ),
        IF($H19&gt;=TIME(0,0,0), "Write in the next field", 0),
        IF($H19&gt;=TIME(0,0,0), "Write in the next field",
            IF($H19&gt;=0, 0,
                IF(OR($C19="Saturday", $C19="Sunday"), 0, 0)
            )
        )
    )),
"Write in the next field")</f>
        <v>0.30833333333333335</v>
      </c>
      <c r="H19" s="16">
        <v>0</v>
      </c>
      <c r="I19" s="16">
        <v>0</v>
      </c>
      <c r="J19" s="16">
        <v>0</v>
      </c>
      <c r="K19" s="63" t="str">
        <f>IF(F19="N","0:00",IF(
OR(
AND(Masterdata!$B$4&lt;&gt;DATE(1900,1,0),Masterdata!$B$4&lt;$E19),
AND(Masterdata!$B$3&lt;&gt;DATE(1900,1,0),Masterdata!$B$3&gt;$E19)
),
"0:00",
IF(
$H19&gt;TIME(0,0,0),
IF(
OR($C19="Saturday",$C19="Sunday"),
TEXT($H19,"[tt]:mm"),
IF($H19-$V$8&gt;=0,TEXT($H19-$V$8,"[tt]:mm"),"-"&amp;TEXT(ABS($H19-$V$8),"[tt]:mm"))
),
IF(
OR($C19="Saturday",$C19="Sunday"),
IF($J19-$I19&gt;=0,TEXT($J19-$I19,"[tt]:mm"),"-"&amp;TEXT(ABS($J19-$I19),"[tt]:mm")),
IFERROR(
IF($G19-$V$8=0,
IF($G19-$V$8&gt;=0,TEXT($G19-$V$8,"[tt]:mm"),"-"&amp;TEXT(ABS($G19-$V$8),"[tt]:mm")),
IF($J19-$I19&gt;=0,TEXT($J19-$I19,"[tt]:mm"),"-"&amp;TEXT(ABS($J19-$I19),"[tt]:mm"))
),
IF(
$J19-$I19-$V$8&gt;=0,
TEXT($J19-$I19-$V$8,"[tt]:mm"),
"-"&amp;TEXT(ABS($J19-$I19-$V$8),"[tt]:mm")
)
)
)
)
))</f>
        <v>0:00</v>
      </c>
      <c r="L19" s="54" t="str">
        <f t="shared" si="3"/>
        <v>0</v>
      </c>
      <c r="M19" s="58" t="str">
        <f t="shared" si="4"/>
        <v>0:</v>
      </c>
      <c r="N19" s="51" t="str">
        <f t="shared" si="5"/>
        <v>0</v>
      </c>
      <c r="O19" s="57">
        <f t="shared" si="6"/>
        <v>0</v>
      </c>
      <c r="P19" s="6">
        <f t="shared" si="7"/>
        <v>0</v>
      </c>
      <c r="Q19" s="69"/>
    </row>
    <row r="20" spans="1:21" ht="15.75" x14ac:dyDescent="0.25">
      <c r="A20" s="12">
        <f t="shared" si="1"/>
        <v>33</v>
      </c>
      <c r="B20" s="13">
        <f t="shared" si="8"/>
        <v>45518</v>
      </c>
      <c r="C20" s="14" t="str" cm="1">
        <f t="array" ref="C20">_xlfn.SWITCH(WEEKDAY($D20, 2), 1, "Monday", 2, "Tuesday", 3, "Wednesday", 4, "Thursday", 5, "Friday", 6, "Saturday", 7, "Sunday")</f>
        <v>Wednesday</v>
      </c>
      <c r="D20">
        <f t="shared" si="0"/>
        <v>4</v>
      </c>
      <c r="E20" s="42">
        <f t="shared" si="2"/>
        <v>45518</v>
      </c>
      <c r="F20" s="15" t="s">
        <v>21</v>
      </c>
      <c r="G20" s="17">
        <f>IFERROR(
    IF($F20="N", $V$8,
        IF(OR(
            AND(Masterdata!$B$4&lt;&gt;DATE(1900,1,0), Masterdata!$B$4&lt;$E20),
            AND(Masterdata!$B$3&lt;&gt;DATE(1900,1,0), Masterdata!$B$3&gt;$E20)
        ),
        IF($H20&gt;=TIME(0,0,0), "Write in the next field", 0),
        IF($H20&gt;=TIME(0,0,0), "Write in the next field",
            IF($H20&gt;=0, 0,
                IF(OR($C20="Saturday", $C20="Sunday"), 0, 0)
            )
        )
    )),
"Write in the next field")</f>
        <v>0.30833333333333335</v>
      </c>
      <c r="H20" s="16">
        <v>0</v>
      </c>
      <c r="I20" s="16">
        <v>0</v>
      </c>
      <c r="J20" s="16">
        <v>0</v>
      </c>
      <c r="K20" s="63" t="str">
        <f>IF(F20="N","0:00",IF(
OR(
AND(Masterdata!$B$4&lt;&gt;DATE(1900,1,0),Masterdata!$B$4&lt;$E20),
AND(Masterdata!$B$3&lt;&gt;DATE(1900,1,0),Masterdata!$B$3&gt;$E20)
),
"0:00",
IF(
$H20&gt;TIME(0,0,0),
IF(
OR($C20="Saturday",$C20="Sunday"),
TEXT($H20,"[tt]:mm"),
IF($H20-$V$8&gt;=0,TEXT($H20-$V$8,"[tt]:mm"),"-"&amp;TEXT(ABS($H20-$V$8),"[tt]:mm"))
),
IF(
OR($C20="Saturday",$C20="Sunday"),
IF($J20-$I20&gt;=0,TEXT($J20-$I20,"[tt]:mm"),"-"&amp;TEXT(ABS($J20-$I20),"[tt]:mm")),
IFERROR(
IF($G20-$V$8=0,
IF($G20-$V$8&gt;=0,TEXT($G20-$V$8,"[tt]:mm"),"-"&amp;TEXT(ABS($G20-$V$8),"[tt]:mm")),
IF($J20-$I20&gt;=0,TEXT($J20-$I20,"[tt]:mm"),"-"&amp;TEXT(ABS($J20-$I20),"[tt]:mm"))
),
IF(
$J20-$I20-$V$8&gt;=0,
TEXT($J20-$I20-$V$8,"[tt]:mm"),
"-"&amp;TEXT(ABS($J20-$I20-$V$8),"[tt]:mm")
)
)
)
)
))</f>
        <v>0:00</v>
      </c>
      <c r="L20" s="54" t="str">
        <f t="shared" si="3"/>
        <v>0</v>
      </c>
      <c r="M20" s="58" t="str">
        <f t="shared" si="4"/>
        <v>0:</v>
      </c>
      <c r="N20" s="51" t="str">
        <f t="shared" si="5"/>
        <v>0</v>
      </c>
      <c r="O20" s="57">
        <f t="shared" si="6"/>
        <v>0</v>
      </c>
      <c r="P20" s="6">
        <f t="shared" si="7"/>
        <v>0</v>
      </c>
      <c r="Q20" s="69"/>
    </row>
    <row r="21" spans="1:21" ht="15.75" x14ac:dyDescent="0.25">
      <c r="A21" s="12">
        <f t="shared" si="1"/>
        <v>33</v>
      </c>
      <c r="B21" s="13">
        <f t="shared" si="8"/>
        <v>45519</v>
      </c>
      <c r="C21" s="14" t="str" cm="1">
        <f t="array" ref="C21">_xlfn.SWITCH(WEEKDAY($D21, 2), 1, "Monday", 2, "Tuesday", 3, "Wednesday", 4, "Thursday", 5, "Friday", 6, "Saturday", 7, "Sunday")</f>
        <v>Thursday</v>
      </c>
      <c r="D21">
        <f t="shared" si="0"/>
        <v>5</v>
      </c>
      <c r="E21" s="42">
        <f t="shared" si="2"/>
        <v>45519</v>
      </c>
      <c r="F21" s="15" t="s">
        <v>21</v>
      </c>
      <c r="G21" s="17">
        <f>IFERROR(
    IF($F21="N", $V$8,
        IF(OR(
            AND(Masterdata!$B$4&lt;&gt;DATE(1900,1,0), Masterdata!$B$4&lt;$E21),
            AND(Masterdata!$B$3&lt;&gt;DATE(1900,1,0), Masterdata!$B$3&gt;$E21)
        ),
        IF($H21&gt;=TIME(0,0,0), "Write in the next field", 0),
        IF($H21&gt;=TIME(0,0,0), "Write in the next field",
            IF($H21&gt;=0, 0,
                IF(OR($C21="Saturday", $C21="Sunday"), 0, 0)
            )
        )
    )),
"Write in the next field")</f>
        <v>0.30833333333333335</v>
      </c>
      <c r="H21" s="16">
        <v>0</v>
      </c>
      <c r="I21" s="16">
        <v>0</v>
      </c>
      <c r="J21" s="16">
        <v>0</v>
      </c>
      <c r="K21" s="63" t="str">
        <f>IF(F21="N","0:00",IF(
OR(
AND(Masterdata!$B$4&lt;&gt;DATE(1900,1,0),Masterdata!$B$4&lt;$E21),
AND(Masterdata!$B$3&lt;&gt;DATE(1900,1,0),Masterdata!$B$3&gt;$E21)
),
"0:00",
IF(
$H21&gt;TIME(0,0,0),
IF(
OR($C21="Saturday",$C21="Sunday"),
TEXT($H21,"[tt]:mm"),
IF($H21-$V$8&gt;=0,TEXT($H21-$V$8,"[tt]:mm"),"-"&amp;TEXT(ABS($H21-$V$8),"[tt]:mm"))
),
IF(
OR($C21="Saturday",$C21="Sunday"),
IF($J21-$I21&gt;=0,TEXT($J21-$I21,"[tt]:mm"),"-"&amp;TEXT(ABS($J21-$I21),"[tt]:mm")),
IFERROR(
IF($G21-$V$8=0,
IF($G21-$V$8&gt;=0,TEXT($G21-$V$8,"[tt]:mm"),"-"&amp;TEXT(ABS($G21-$V$8),"[tt]:mm")),
IF($J21-$I21&gt;=0,TEXT($J21-$I21,"[tt]:mm"),"-"&amp;TEXT(ABS($J21-$I21),"[tt]:mm"))
),
IF(
$J21-$I21-$V$8&gt;=0,
TEXT($J21-$I21-$V$8,"[tt]:mm"),
"-"&amp;TEXT(ABS($J21-$I21-$V$8),"[tt]:mm")
)
)
)
)
))</f>
        <v>0:00</v>
      </c>
      <c r="L21" s="54" t="str">
        <f t="shared" si="3"/>
        <v>0</v>
      </c>
      <c r="M21" s="58" t="str">
        <f t="shared" si="4"/>
        <v>0:</v>
      </c>
      <c r="N21" s="51" t="str">
        <f t="shared" si="5"/>
        <v>0</v>
      </c>
      <c r="O21" s="57">
        <f t="shared" si="6"/>
        <v>0</v>
      </c>
      <c r="P21" s="6">
        <f t="shared" si="7"/>
        <v>0</v>
      </c>
      <c r="Q21" s="69"/>
    </row>
    <row r="22" spans="1:21" ht="15.75" x14ac:dyDescent="0.25">
      <c r="A22" s="12">
        <f t="shared" si="1"/>
        <v>33</v>
      </c>
      <c r="B22" s="13">
        <f t="shared" si="8"/>
        <v>45520</v>
      </c>
      <c r="C22" s="14" t="str" cm="1">
        <f t="array" ref="C22">_xlfn.SWITCH(WEEKDAY($D22, 2), 1, "Monday", 2, "Tuesday", 3, "Wednesday", 4, "Thursday", 5, "Friday", 6, "Saturday", 7, "Sunday")</f>
        <v>Friday</v>
      </c>
      <c r="D22">
        <f t="shared" si="0"/>
        <v>6</v>
      </c>
      <c r="E22" s="42">
        <f t="shared" si="2"/>
        <v>45520</v>
      </c>
      <c r="F22" s="15" t="s">
        <v>21</v>
      </c>
      <c r="G22" s="17">
        <f>IFERROR(
    IF($F22="N", $V$8,
        IF(OR(
            AND(Masterdata!$B$4&lt;&gt;DATE(1900,1,0), Masterdata!$B$4&lt;$E22),
            AND(Masterdata!$B$3&lt;&gt;DATE(1900,1,0), Masterdata!$B$3&gt;$E22)
        ),
        IF($H22&gt;=TIME(0,0,0), "Write in the next field", 0),
        IF($H22&gt;=TIME(0,0,0), "Write in the next field",
            IF($H22&gt;=0, 0,
                IF(OR($C22="Saturday", $C22="Sunday"), 0, 0)
            )
        )
    )),
"Write in the next field")</f>
        <v>0.30833333333333335</v>
      </c>
      <c r="H22" s="16">
        <v>0</v>
      </c>
      <c r="I22" s="16">
        <v>0</v>
      </c>
      <c r="J22" s="16">
        <v>0</v>
      </c>
      <c r="K22" s="63" t="str">
        <f>IF(F22="N","0:00",IF(
OR(
AND(Masterdata!$B$4&lt;&gt;DATE(1900,1,0),Masterdata!$B$4&lt;$E22),
AND(Masterdata!$B$3&lt;&gt;DATE(1900,1,0),Masterdata!$B$3&gt;$E22)
),
"0:00",
IF(
$H22&gt;TIME(0,0,0),
IF(
OR($C22="Saturday",$C22="Sunday"),
TEXT($H22,"[tt]:mm"),
IF($H22-$V$8&gt;=0,TEXT($H22-$V$8,"[tt]:mm"),"-"&amp;TEXT(ABS($H22-$V$8),"[tt]:mm"))
),
IF(
OR($C22="Saturday",$C22="Sunday"),
IF($J22-$I22&gt;=0,TEXT($J22-$I22,"[tt]:mm"),"-"&amp;TEXT(ABS($J22-$I22),"[tt]:mm")),
IFERROR(
IF($G22-$V$8=0,
IF($G22-$V$8&gt;=0,TEXT($G22-$V$8,"[tt]:mm"),"-"&amp;TEXT(ABS($G22-$V$8),"[tt]:mm")),
IF($J22-$I22&gt;=0,TEXT($J22-$I22,"[tt]:mm"),"-"&amp;TEXT(ABS($J22-$I22),"[tt]:mm"))
),
IF(
$J22-$I22-$V$8&gt;=0,
TEXT($J22-$I22-$V$8,"[tt]:mm"),
"-"&amp;TEXT(ABS($J22-$I22-$V$8),"[tt]:mm")
)
)
)
)
))</f>
        <v>0:00</v>
      </c>
      <c r="L22" s="54" t="str">
        <f t="shared" si="3"/>
        <v>0</v>
      </c>
      <c r="M22" s="58" t="str">
        <f t="shared" si="4"/>
        <v>0:</v>
      </c>
      <c r="N22" s="51" t="str">
        <f t="shared" si="5"/>
        <v>0</v>
      </c>
      <c r="O22" s="57">
        <f t="shared" si="6"/>
        <v>0</v>
      </c>
      <c r="P22" s="6">
        <f t="shared" si="7"/>
        <v>0</v>
      </c>
      <c r="Q22" s="69"/>
    </row>
    <row r="23" spans="1:21" ht="15.75" x14ac:dyDescent="0.25">
      <c r="A23" s="12">
        <f t="shared" si="1"/>
        <v>33</v>
      </c>
      <c r="B23" s="13">
        <f t="shared" si="8"/>
        <v>45521</v>
      </c>
      <c r="C23" s="14" t="str" cm="1">
        <f t="array" ref="C23">_xlfn.SWITCH(WEEKDAY($D23, 2), 1, "Monday", 2, "Tuesday", 3, "Wednesday", 4, "Thursday", 5, "Friday", 6, "Saturday", 7, "Sunday")</f>
        <v>Saturday</v>
      </c>
      <c r="D23">
        <f t="shared" si="0"/>
        <v>7</v>
      </c>
      <c r="E23" s="42">
        <f t="shared" si="2"/>
        <v>45521</v>
      </c>
      <c r="F23" s="15" t="s">
        <v>21</v>
      </c>
      <c r="G23" s="17">
        <f>IF($F23="N",0,"Write in the next field")</f>
        <v>0</v>
      </c>
      <c r="H23" s="16">
        <v>0</v>
      </c>
      <c r="I23" s="16">
        <v>0</v>
      </c>
      <c r="J23" s="16">
        <v>0</v>
      </c>
      <c r="K23" s="63" t="str">
        <f>IF(F23="N","0:00",IF(
OR(
AND(Masterdata!$B$4&lt;&gt;DATE(1900,1,0),Masterdata!$B$4&lt;$E23),
AND(Masterdata!$B$3&lt;&gt;DATE(1900,1,0),Masterdata!$B$3&gt;$E23)
),
"0:00",
IF(
$H23&gt;TIME(0,0,0),
IF(
OR($C23="Saturday",$C23="Sunday"),
TEXT($H23,"[tt]:mm"),
IF($H23-$V$8&gt;=0,TEXT($H23-$V$8,"[tt]:mm"),"-"&amp;TEXT(ABS($H23-$V$8),"[tt]:mm"))
),
IF(
OR($C23="Saturday",$C23="Sunday"),
IF($J23-$I23&gt;=0,TEXT($J23-$I23,"[tt]:mm"),"-"&amp;TEXT(ABS($J23-$I23),"[tt]:mm")),
IFERROR(
IF($G23-$V$8=0,
IF($G23-$V$8&gt;=0,TEXT($G23-$V$8,"[tt]:mm"),"-"&amp;TEXT(ABS($G23-$V$8),"[tt]:mm")),
IF($J23-$I23&gt;=0,TEXT($J23-$I23,"[tt]:mm"),"-"&amp;TEXT(ABS($J23-$I23),"[tt]:mm"))
),
IF(
$J23-$I23-$V$8&gt;=0,
TEXT($J23-$I23-$V$8,"[tt]:mm"),
"-"&amp;TEXT(ABS($J23-$I23-$V$8),"[tt]:mm")
)
)
)
)
))</f>
        <v>0:00</v>
      </c>
      <c r="L23" s="54" t="str">
        <f t="shared" si="3"/>
        <v>0</v>
      </c>
      <c r="M23" s="58" t="str">
        <f t="shared" si="4"/>
        <v>0:</v>
      </c>
      <c r="N23" s="51" t="str">
        <f t="shared" si="5"/>
        <v>0</v>
      </c>
      <c r="O23" s="57">
        <f t="shared" si="6"/>
        <v>0</v>
      </c>
      <c r="P23" s="6">
        <f t="shared" si="7"/>
        <v>0</v>
      </c>
      <c r="Q23" s="69"/>
    </row>
    <row r="24" spans="1:21" ht="15.75" x14ac:dyDescent="0.25">
      <c r="A24" s="12">
        <f t="shared" si="1"/>
        <v>33</v>
      </c>
      <c r="B24" s="13">
        <f t="shared" si="8"/>
        <v>45522</v>
      </c>
      <c r="C24" s="14" t="str" cm="1">
        <f t="array" ref="C24">_xlfn.SWITCH(WEEKDAY($D24, 2), 1, "Monday", 2, "Tuesday", 3, "Wednesday", 4, "Thursday", 5, "Friday", 6, "Saturday", 7, "Sunday")</f>
        <v>Sunday</v>
      </c>
      <c r="D24">
        <f t="shared" si="0"/>
        <v>8</v>
      </c>
      <c r="E24" s="42">
        <f t="shared" si="2"/>
        <v>45522</v>
      </c>
      <c r="F24" s="15" t="s">
        <v>21</v>
      </c>
      <c r="G24" s="17">
        <f>IF($F24="N",0,"Write in the next field")</f>
        <v>0</v>
      </c>
      <c r="H24" s="16">
        <v>0.91666666666666663</v>
      </c>
      <c r="I24" s="16">
        <v>0</v>
      </c>
      <c r="J24" s="16">
        <v>0</v>
      </c>
      <c r="K24" s="63" t="str">
        <f>IF(F24="N","0:00",IF(
OR(
AND(Masterdata!$B$4&lt;&gt;DATE(1900,1,0),Masterdata!$B$4&lt;$E24),
AND(Masterdata!$B$3&lt;&gt;DATE(1900,1,0),Masterdata!$B$3&gt;$E24)
),
"0:00",
IF(
$H24&gt;TIME(0,0,0),
IF(
OR($C24="Saturday",$C24="Sunday"),
TEXT($H24,"[tt]:mm"),
IF($H24-$V$8&gt;=0,TEXT($H24-$V$8,"[tt]:mm"),"-"&amp;TEXT(ABS($H24-$V$8),"[tt]:mm"))
),
IF(
OR($C24="Saturday",$C24="Sunday"),
IF($J24-$I24&gt;=0,TEXT($J24-$I24,"[tt]:mm"),"-"&amp;TEXT(ABS($J24-$I24),"[tt]:mm")),
IFERROR(
IF($G24-$V$8=0,
IF($G24-$V$8&gt;=0,TEXT($G24-$V$8,"[tt]:mm"),"-"&amp;TEXT(ABS($G24-$V$8),"[tt]:mm")),
IF($J24-$I24&gt;=0,TEXT($J24-$I24,"[tt]:mm"),"-"&amp;TEXT(ABS($J24-$I24),"[tt]:mm"))
),
IF(
$J24-$I24-$V$8&gt;=0,
TEXT($J24-$I24-$V$8,"[tt]:mm"),
"-"&amp;TEXT(ABS($J24-$I24-$V$8),"[tt]:mm")
)
)
)
)
))</f>
        <v>0:00</v>
      </c>
      <c r="L24" s="54" t="str">
        <f t="shared" si="3"/>
        <v>0</v>
      </c>
      <c r="M24" s="58" t="str">
        <f t="shared" si="4"/>
        <v>0:</v>
      </c>
      <c r="N24" s="51" t="str">
        <f t="shared" si="5"/>
        <v>0</v>
      </c>
      <c r="O24" s="57">
        <f t="shared" si="6"/>
        <v>0</v>
      </c>
      <c r="P24" s="6">
        <f t="shared" si="7"/>
        <v>0</v>
      </c>
      <c r="Q24" s="69"/>
    </row>
    <row r="25" spans="1:21" ht="15.75" x14ac:dyDescent="0.25">
      <c r="A25" s="12">
        <f t="shared" si="1"/>
        <v>34</v>
      </c>
      <c r="B25" s="13">
        <f t="shared" si="8"/>
        <v>45523</v>
      </c>
      <c r="C25" s="14" t="str" cm="1">
        <f t="array" ref="C25">_xlfn.SWITCH(WEEKDAY($D25, 2), 1, "Monday", 2, "Tuesday", 3, "Wednesday", 4, "Thursday", 5, "Friday", 6, "Saturday", 7, "Sunday")</f>
        <v>Monday</v>
      </c>
      <c r="D25">
        <f t="shared" si="0"/>
        <v>2</v>
      </c>
      <c r="E25" s="42">
        <f t="shared" si="2"/>
        <v>45523</v>
      </c>
      <c r="F25" s="15" t="s">
        <v>21</v>
      </c>
      <c r="G25" s="17">
        <f>IFERROR(
    IF($F25="N", $V$8,
        IF(OR(
            AND(Masterdata!$B$4&lt;&gt;DATE(1900,1,0), Masterdata!$B$4&lt;$E25),
            AND(Masterdata!$B$3&lt;&gt;DATE(1900,1,0), Masterdata!$B$3&gt;$E25)
        ),
        IF($H25&gt;=TIME(0,0,0), "Write in the next field", 0),
        IF($H25&gt;=TIME(0,0,0), "Write in the next field",
            IF($H25&gt;=0, 0,
                IF(OR($C25="Saturday", $C25="Sunday"), 0, 0)
            )
        )
    )),
"Write in the next field")</f>
        <v>0.30833333333333335</v>
      </c>
      <c r="H25" s="16">
        <v>0</v>
      </c>
      <c r="I25" s="16">
        <v>0</v>
      </c>
      <c r="J25" s="16">
        <v>0</v>
      </c>
      <c r="K25" s="63" t="str">
        <f>IF(F25="N","0:00",IF(
OR(
AND(Masterdata!$B$4&lt;&gt;DATE(1900,1,0),Masterdata!$B$4&lt;$E25),
AND(Masterdata!$B$3&lt;&gt;DATE(1900,1,0),Masterdata!$B$3&gt;$E25)
),
"0:00",
IF(
$H25&gt;TIME(0,0,0),
IF(
OR($C25="Saturday",$C25="Sunday"),
TEXT($H25,"[tt]:mm"),
IF($H25-$V$8&gt;=0,TEXT($H25-$V$8,"[tt]:mm"),"-"&amp;TEXT(ABS($H25-$V$8),"[tt]:mm"))
),
IF(
OR($C25="Saturday",$C25="Sunday"),
IF($J25-$I25&gt;=0,TEXT($J25-$I25,"[tt]:mm"),"-"&amp;TEXT(ABS($J25-$I25),"[tt]:mm")),
IFERROR(
IF($G25-$V$8=0,
IF($G25-$V$8&gt;=0,TEXT($G25-$V$8,"[tt]:mm"),"-"&amp;TEXT(ABS($G25-$V$8),"[tt]:mm")),
IF($J25-$I25&gt;=0,TEXT($J25-$I25,"[tt]:mm"),"-"&amp;TEXT(ABS($J25-$I25),"[tt]:mm"))
),
IF(
$J25-$I25-$V$8&gt;=0,
TEXT($J25-$I25-$V$8,"[tt]:mm"),
"-"&amp;TEXT(ABS($J25-$I25-$V$8),"[tt]:mm")
)
)
)
)
))</f>
        <v>0:00</v>
      </c>
      <c r="L25" s="54" t="str">
        <f t="shared" si="3"/>
        <v>0</v>
      </c>
      <c r="M25" s="58" t="str">
        <f t="shared" si="4"/>
        <v>0:</v>
      </c>
      <c r="N25" s="51" t="str">
        <f t="shared" si="5"/>
        <v>0</v>
      </c>
      <c r="O25" s="57">
        <f t="shared" si="6"/>
        <v>0</v>
      </c>
      <c r="P25" s="6">
        <f t="shared" si="7"/>
        <v>0</v>
      </c>
      <c r="Q25" s="69"/>
    </row>
    <row r="26" spans="1:21" ht="15.75" x14ac:dyDescent="0.25">
      <c r="A26" s="12">
        <f t="shared" si="1"/>
        <v>34</v>
      </c>
      <c r="B26" s="13">
        <f t="shared" si="8"/>
        <v>45524</v>
      </c>
      <c r="C26" s="14" t="str" cm="1">
        <f t="array" ref="C26">_xlfn.SWITCH(WEEKDAY($D26, 2), 1, "Monday", 2, "Tuesday", 3, "Wednesday", 4, "Thursday", 5, "Friday", 6, "Saturday", 7, "Sunday")</f>
        <v>Tuesday</v>
      </c>
      <c r="D26">
        <f t="shared" si="0"/>
        <v>3</v>
      </c>
      <c r="E26" s="42">
        <f t="shared" si="2"/>
        <v>45524</v>
      </c>
      <c r="F26" s="15" t="s">
        <v>21</v>
      </c>
      <c r="G26" s="17">
        <f>IFERROR(
    IF($F26="N", $V$8,
        IF(OR(
            AND(Masterdata!$B$4&lt;&gt;DATE(1900,1,0), Masterdata!$B$4&lt;$E26),
            AND(Masterdata!$B$3&lt;&gt;DATE(1900,1,0), Masterdata!$B$3&gt;$E26)
        ),
        IF($H26&gt;=TIME(0,0,0), "Write in the next field", 0),
        IF($H26&gt;=TIME(0,0,0), "Write in the next field",
            IF($H26&gt;=0, 0,
                IF(OR($C26="Saturday", $C26="Sunday"), 0, 0)
            )
        )
    )),
"Write in the next field")</f>
        <v>0.30833333333333335</v>
      </c>
      <c r="H26" s="16">
        <v>0</v>
      </c>
      <c r="I26" s="16">
        <v>0</v>
      </c>
      <c r="J26" s="16">
        <v>0</v>
      </c>
      <c r="K26" s="63" t="str">
        <f>IF(F26="N","0:00",IF(
OR(
AND(Masterdata!$B$4&lt;&gt;DATE(1900,1,0),Masterdata!$B$4&lt;$E26),
AND(Masterdata!$B$3&lt;&gt;DATE(1900,1,0),Masterdata!$B$3&gt;$E26)
),
"0:00",
IF(
$H26&gt;TIME(0,0,0),
IF(
OR($C26="Saturday",$C26="Sunday"),
TEXT($H26,"[tt]:mm"),
IF($H26-$V$8&gt;=0,TEXT($H26-$V$8,"[tt]:mm"),"-"&amp;TEXT(ABS($H26-$V$8),"[tt]:mm"))
),
IF(
OR($C26="Saturday",$C26="Sunday"),
IF($J26-$I26&gt;=0,TEXT($J26-$I26,"[tt]:mm"),"-"&amp;TEXT(ABS($J26-$I26),"[tt]:mm")),
IFERROR(
IF($G26-$V$8=0,
IF($G26-$V$8&gt;=0,TEXT($G26-$V$8,"[tt]:mm"),"-"&amp;TEXT(ABS($G26-$V$8),"[tt]:mm")),
IF($J26-$I26&gt;=0,TEXT($J26-$I26,"[tt]:mm"),"-"&amp;TEXT(ABS($J26-$I26),"[tt]:mm"))
),
IF(
$J26-$I26-$V$8&gt;=0,
TEXT($J26-$I26-$V$8,"[tt]:mm"),
"-"&amp;TEXT(ABS($J26-$I26-$V$8),"[tt]:mm")
)
)
)
)
))</f>
        <v>0:00</v>
      </c>
      <c r="L26" s="54" t="str">
        <f t="shared" si="3"/>
        <v>0</v>
      </c>
      <c r="M26" s="58" t="str">
        <f t="shared" si="4"/>
        <v>0:</v>
      </c>
      <c r="N26" s="51" t="str">
        <f t="shared" si="5"/>
        <v>0</v>
      </c>
      <c r="O26" s="57">
        <f t="shared" si="6"/>
        <v>0</v>
      </c>
      <c r="P26" s="6">
        <f t="shared" si="7"/>
        <v>0</v>
      </c>
      <c r="Q26" s="69"/>
    </row>
    <row r="27" spans="1:21" ht="15.75" x14ac:dyDescent="0.25">
      <c r="A27" s="12">
        <f t="shared" si="1"/>
        <v>34</v>
      </c>
      <c r="B27" s="13">
        <f t="shared" si="8"/>
        <v>45525</v>
      </c>
      <c r="C27" s="14" t="str" cm="1">
        <f t="array" ref="C27">_xlfn.SWITCH(WEEKDAY($D27, 2), 1, "Monday", 2, "Tuesday", 3, "Wednesday", 4, "Thursday", 5, "Friday", 6, "Saturday", 7, "Sunday")</f>
        <v>Wednesday</v>
      </c>
      <c r="D27">
        <f t="shared" si="0"/>
        <v>4</v>
      </c>
      <c r="E27" s="42">
        <f t="shared" si="2"/>
        <v>45525</v>
      </c>
      <c r="F27" s="15" t="s">
        <v>21</v>
      </c>
      <c r="G27" s="17">
        <f>IFERROR(
    IF($F27="N", $V$8,
        IF(OR(
            AND(Masterdata!$B$4&lt;&gt;DATE(1900,1,0), Masterdata!$B$4&lt;$E27),
            AND(Masterdata!$B$3&lt;&gt;DATE(1900,1,0), Masterdata!$B$3&gt;$E27)
        ),
        IF($H27&gt;=TIME(0,0,0), "Write in the next field", 0),
        IF($H27&gt;=TIME(0,0,0), "Write in the next field",
            IF($H27&gt;=0, 0,
                IF(OR($C27="Saturday", $C27="Sunday"), 0, 0)
            )
        )
    )),
"Write in the next field")</f>
        <v>0.30833333333333335</v>
      </c>
      <c r="H27" s="16">
        <v>0</v>
      </c>
      <c r="I27" s="16">
        <v>0</v>
      </c>
      <c r="J27" s="16">
        <v>0</v>
      </c>
      <c r="K27" s="63" t="str">
        <f>IF(F27="N","0:00",IF(
OR(
AND(Masterdata!$B$4&lt;&gt;DATE(1900,1,0),Masterdata!$B$4&lt;$E27),
AND(Masterdata!$B$3&lt;&gt;DATE(1900,1,0),Masterdata!$B$3&gt;$E27)
),
"0:00",
IF(
$H27&gt;TIME(0,0,0),
IF(
OR($C27="Saturday",$C27="Sunday"),
TEXT($H27,"[tt]:mm"),
IF($H27-$V$8&gt;=0,TEXT($H27-$V$8,"[tt]:mm"),"-"&amp;TEXT(ABS($H27-$V$8),"[tt]:mm"))
),
IF(
OR($C27="Saturday",$C27="Sunday"),
IF($J27-$I27&gt;=0,TEXT($J27-$I27,"[tt]:mm"),"-"&amp;TEXT(ABS($J27-$I27),"[tt]:mm")),
IFERROR(
IF($G27-$V$8=0,
IF($G27-$V$8&gt;=0,TEXT($G27-$V$8,"[tt]:mm"),"-"&amp;TEXT(ABS($G27-$V$8),"[tt]:mm")),
IF($J27-$I27&gt;=0,TEXT($J27-$I27,"[tt]:mm"),"-"&amp;TEXT(ABS($J27-$I27),"[tt]:mm"))
),
IF(
$J27-$I27-$V$8&gt;=0,
TEXT($J27-$I27-$V$8,"[tt]:mm"),
"-"&amp;TEXT(ABS($J27-$I27-$V$8),"[tt]:mm")
)
)
)
)
))</f>
        <v>0:00</v>
      </c>
      <c r="L27" s="54" t="str">
        <f t="shared" si="3"/>
        <v>0</v>
      </c>
      <c r="M27" s="58" t="str">
        <f t="shared" si="4"/>
        <v>0:</v>
      </c>
      <c r="N27" s="51" t="str">
        <f t="shared" si="5"/>
        <v>0</v>
      </c>
      <c r="O27" s="57">
        <f t="shared" si="6"/>
        <v>0</v>
      </c>
      <c r="P27" s="6">
        <f t="shared" si="7"/>
        <v>0</v>
      </c>
      <c r="Q27" s="69"/>
    </row>
    <row r="28" spans="1:21" ht="15.75" x14ac:dyDescent="0.25">
      <c r="A28" s="12">
        <f t="shared" si="1"/>
        <v>34</v>
      </c>
      <c r="B28" s="13">
        <f t="shared" si="8"/>
        <v>45526</v>
      </c>
      <c r="C28" s="14" t="str" cm="1">
        <f t="array" ref="C28">_xlfn.SWITCH(WEEKDAY($D28, 2), 1, "Monday", 2, "Tuesday", 3, "Wednesday", 4, "Thursday", 5, "Friday", 6, "Saturday", 7, "Sunday")</f>
        <v>Thursday</v>
      </c>
      <c r="D28">
        <f t="shared" si="0"/>
        <v>5</v>
      </c>
      <c r="E28" s="42">
        <f t="shared" si="2"/>
        <v>45526</v>
      </c>
      <c r="F28" s="15" t="s">
        <v>21</v>
      </c>
      <c r="G28" s="17">
        <f>IFERROR(
    IF($F28="N", $V$8,
        IF(OR(
            AND(Masterdata!$B$4&lt;&gt;DATE(1900,1,0), Masterdata!$B$4&lt;$E28),
            AND(Masterdata!$B$3&lt;&gt;DATE(1900,1,0), Masterdata!$B$3&gt;$E28)
        ),
        IF($H28&gt;=TIME(0,0,0), "Write in the next field", 0),
        IF($H28&gt;=TIME(0,0,0), "Write in the next field",
            IF($H28&gt;=0, 0,
                IF(OR($C28="Saturday", $C28="Sunday"), 0, 0)
            )
        )
    )),
"Write in the next field")</f>
        <v>0.30833333333333335</v>
      </c>
      <c r="H28" s="16">
        <v>0</v>
      </c>
      <c r="I28" s="16">
        <v>0</v>
      </c>
      <c r="J28" s="16">
        <v>0</v>
      </c>
      <c r="K28" s="63" t="str">
        <f>IF(F28="N","0:00",IF(
OR(
AND(Masterdata!$B$4&lt;&gt;DATE(1900,1,0),Masterdata!$B$4&lt;$E28),
AND(Masterdata!$B$3&lt;&gt;DATE(1900,1,0),Masterdata!$B$3&gt;$E28)
),
"0:00",
IF(
$H28&gt;TIME(0,0,0),
IF(
OR($C28="Saturday",$C28="Sunday"),
TEXT($H28,"[tt]:mm"),
IF($H28-$V$8&gt;=0,TEXT($H28-$V$8,"[tt]:mm"),"-"&amp;TEXT(ABS($H28-$V$8),"[tt]:mm"))
),
IF(
OR($C28="Saturday",$C28="Sunday"),
IF($J28-$I28&gt;=0,TEXT($J28-$I28,"[tt]:mm"),"-"&amp;TEXT(ABS($J28-$I28),"[tt]:mm")),
IFERROR(
IF($G28-$V$8=0,
IF($G28-$V$8&gt;=0,TEXT($G28-$V$8,"[tt]:mm"),"-"&amp;TEXT(ABS($G28-$V$8),"[tt]:mm")),
IF($J28-$I28&gt;=0,TEXT($J28-$I28,"[tt]:mm"),"-"&amp;TEXT(ABS($J28-$I28),"[tt]:mm"))
),
IF(
$J28-$I28-$V$8&gt;=0,
TEXT($J28-$I28-$V$8,"[tt]:mm"),
"-"&amp;TEXT(ABS($J28-$I28-$V$8),"[tt]:mm")
)
)
)
)
))</f>
        <v>0:00</v>
      </c>
      <c r="L28" s="54" t="str">
        <f t="shared" si="3"/>
        <v>0</v>
      </c>
      <c r="M28" s="58" t="str">
        <f t="shared" si="4"/>
        <v>0:</v>
      </c>
      <c r="N28" s="51" t="str">
        <f t="shared" si="5"/>
        <v>0</v>
      </c>
      <c r="O28" s="57">
        <f t="shared" si="6"/>
        <v>0</v>
      </c>
      <c r="P28" s="6">
        <f t="shared" si="7"/>
        <v>0</v>
      </c>
      <c r="Q28" s="69"/>
    </row>
    <row r="29" spans="1:21" ht="15.75" x14ac:dyDescent="0.25">
      <c r="A29" s="12">
        <f t="shared" si="1"/>
        <v>34</v>
      </c>
      <c r="B29" s="13">
        <f t="shared" si="8"/>
        <v>45527</v>
      </c>
      <c r="C29" s="14" t="str" cm="1">
        <f t="array" ref="C29">_xlfn.SWITCH(WEEKDAY($D29, 2), 1, "Monday", 2, "Tuesday", 3, "Wednesday", 4, "Thursday", 5, "Friday", 6, "Saturday", 7, "Sunday")</f>
        <v>Friday</v>
      </c>
      <c r="D29">
        <f t="shared" si="0"/>
        <v>6</v>
      </c>
      <c r="E29" s="42">
        <f t="shared" si="2"/>
        <v>45527</v>
      </c>
      <c r="F29" s="15" t="s">
        <v>21</v>
      </c>
      <c r="G29" s="17">
        <f>IFERROR(
    IF($F29="N", $V$8,
        IF(OR(
            AND(Masterdata!$B$4&lt;&gt;DATE(1900,1,0), Masterdata!$B$4&lt;$E29),
            AND(Masterdata!$B$3&lt;&gt;DATE(1900,1,0), Masterdata!$B$3&gt;$E29)
        ),
        IF($H29&gt;=TIME(0,0,0), "Write in the next field", 0),
        IF($H29&gt;=TIME(0,0,0), "Write in the next field",
            IF($H29&gt;=0, 0,
                IF(OR($C29="Saturday", $C29="Sunday"), 0, 0)
            )
        )
    )),
"Write in the next field")</f>
        <v>0.30833333333333335</v>
      </c>
      <c r="H29" s="16">
        <v>0</v>
      </c>
      <c r="I29" s="16">
        <v>0</v>
      </c>
      <c r="J29" s="16">
        <v>0</v>
      </c>
      <c r="K29" s="63" t="str">
        <f>IF(F29="N","0:00",IF(
OR(
AND(Masterdata!$B$4&lt;&gt;DATE(1900,1,0),Masterdata!$B$4&lt;$E29),
AND(Masterdata!$B$3&lt;&gt;DATE(1900,1,0),Masterdata!$B$3&gt;$E29)
),
"0:00",
IF(
$H29&gt;TIME(0,0,0),
IF(
OR($C29="Saturday",$C29="Sunday"),
TEXT($H29,"[tt]:mm"),
IF($H29-$V$8&gt;=0,TEXT($H29-$V$8,"[tt]:mm"),"-"&amp;TEXT(ABS($H29-$V$8),"[tt]:mm"))
),
IF(
OR($C29="Saturday",$C29="Sunday"),
IF($J29-$I29&gt;=0,TEXT($J29-$I29,"[tt]:mm"),"-"&amp;TEXT(ABS($J29-$I29),"[tt]:mm")),
IFERROR(
IF($G29-$V$8=0,
IF($G29-$V$8&gt;=0,TEXT($G29-$V$8,"[tt]:mm"),"-"&amp;TEXT(ABS($G29-$V$8),"[tt]:mm")),
IF($J29-$I29&gt;=0,TEXT($J29-$I29,"[tt]:mm"),"-"&amp;TEXT(ABS($J29-$I29),"[tt]:mm"))
),
IF(
$J29-$I29-$V$8&gt;=0,
TEXT($J29-$I29-$V$8,"[tt]:mm"),
"-"&amp;TEXT(ABS($J29-$I29-$V$8),"[tt]:mm")
)
)
)
)
))</f>
        <v>0:00</v>
      </c>
      <c r="L29" s="54" t="str">
        <f t="shared" si="3"/>
        <v>0</v>
      </c>
      <c r="M29" s="58" t="str">
        <f t="shared" si="4"/>
        <v>0:</v>
      </c>
      <c r="N29" s="51" t="str">
        <f t="shared" si="5"/>
        <v>0</v>
      </c>
      <c r="O29" s="57">
        <f t="shared" si="6"/>
        <v>0</v>
      </c>
      <c r="P29" s="6">
        <f t="shared" si="7"/>
        <v>0</v>
      </c>
      <c r="Q29" s="69"/>
    </row>
    <row r="30" spans="1:21" ht="15.75" x14ac:dyDescent="0.25">
      <c r="A30" s="12">
        <f t="shared" si="1"/>
        <v>34</v>
      </c>
      <c r="B30" s="13">
        <f t="shared" si="8"/>
        <v>45528</v>
      </c>
      <c r="C30" s="14" t="str" cm="1">
        <f t="array" ref="C30">_xlfn.SWITCH(WEEKDAY($D30, 2), 1, "Monday", 2, "Tuesday", 3, "Wednesday", 4, "Thursday", 5, "Friday", 6, "Saturday", 7, "Sunday")</f>
        <v>Saturday</v>
      </c>
      <c r="D30">
        <f t="shared" si="0"/>
        <v>7</v>
      </c>
      <c r="E30" s="42">
        <f t="shared" si="2"/>
        <v>45528</v>
      </c>
      <c r="F30" s="15" t="s">
        <v>21</v>
      </c>
      <c r="G30" s="17">
        <f>IF($F30="N",0,"Write in the next field")</f>
        <v>0</v>
      </c>
      <c r="H30" s="16">
        <v>0</v>
      </c>
      <c r="I30" s="16">
        <v>0</v>
      </c>
      <c r="J30" s="16">
        <v>0</v>
      </c>
      <c r="K30" s="63" t="str">
        <f>IF(F30="N","0:00",IF(
OR(
AND(Masterdata!$B$4&lt;&gt;DATE(1900,1,0),Masterdata!$B$4&lt;$E30),
AND(Masterdata!$B$3&lt;&gt;DATE(1900,1,0),Masterdata!$B$3&gt;$E30)
),
"0:00",
IF(
$H30&gt;TIME(0,0,0),
IF(
OR($C30="Saturday",$C30="Sunday"),
TEXT($H30,"[tt]:mm"),
IF($H30-$V$8&gt;=0,TEXT($H30-$V$8,"[tt]:mm"),"-"&amp;TEXT(ABS($H30-$V$8),"[tt]:mm"))
),
IF(
OR($C30="Saturday",$C30="Sunday"),
IF($J30-$I30&gt;=0,TEXT($J30-$I30,"[tt]:mm"),"-"&amp;TEXT(ABS($J30-$I30),"[tt]:mm")),
IFERROR(
IF($G30-$V$8=0,
IF($G30-$V$8&gt;=0,TEXT($G30-$V$8,"[tt]:mm"),"-"&amp;TEXT(ABS($G30-$V$8),"[tt]:mm")),
IF($J30-$I30&gt;=0,TEXT($J30-$I30,"[tt]:mm"),"-"&amp;TEXT(ABS($J30-$I30),"[tt]:mm"))
),
IF(
$J30-$I30-$V$8&gt;=0,
TEXT($J30-$I30-$V$8,"[tt]:mm"),
"-"&amp;TEXT(ABS($J30-$I30-$V$8),"[tt]:mm")
)
)
)
)
))</f>
        <v>0:00</v>
      </c>
      <c r="L30" s="54" t="str">
        <f t="shared" si="3"/>
        <v>0</v>
      </c>
      <c r="M30" s="58" t="str">
        <f t="shared" si="4"/>
        <v>0:</v>
      </c>
      <c r="N30" s="51" t="str">
        <f t="shared" si="5"/>
        <v>0</v>
      </c>
      <c r="O30" s="57">
        <f t="shared" si="6"/>
        <v>0</v>
      </c>
      <c r="P30" s="6">
        <f t="shared" si="7"/>
        <v>0</v>
      </c>
      <c r="Q30" s="69"/>
    </row>
    <row r="31" spans="1:21" ht="15.75" x14ac:dyDescent="0.25">
      <c r="A31" s="12">
        <f t="shared" si="1"/>
        <v>34</v>
      </c>
      <c r="B31" s="13">
        <f t="shared" si="8"/>
        <v>45529</v>
      </c>
      <c r="C31" s="14" t="str" cm="1">
        <f t="array" ref="C31">_xlfn.SWITCH(WEEKDAY($D31, 2), 1, "Monday", 2, "Tuesday", 3, "Wednesday", 4, "Thursday", 5, "Friday", 6, "Saturday", 7, "Sunday")</f>
        <v>Sunday</v>
      </c>
      <c r="D31">
        <f t="shared" si="0"/>
        <v>8</v>
      </c>
      <c r="E31" s="42">
        <f t="shared" si="2"/>
        <v>45529</v>
      </c>
      <c r="F31" s="15" t="s">
        <v>21</v>
      </c>
      <c r="G31" s="17">
        <f>IF($F31="N",0,"Write in the next field")</f>
        <v>0</v>
      </c>
      <c r="H31" s="16">
        <v>0</v>
      </c>
      <c r="I31" s="16">
        <v>0</v>
      </c>
      <c r="J31" s="16">
        <v>0</v>
      </c>
      <c r="K31" s="63" t="str">
        <f>IF(F31="N","0:00",IF(
OR(
AND(Masterdata!$B$4&lt;&gt;DATE(1900,1,0),Masterdata!$B$4&lt;$E31),
AND(Masterdata!$B$3&lt;&gt;DATE(1900,1,0),Masterdata!$B$3&gt;$E31)
),
"0:00",
IF(
$H31&gt;TIME(0,0,0),
IF(
OR($C31="Saturday",$C31="Sunday"),
TEXT($H31,"[tt]:mm"),
IF($H31-$V$8&gt;=0,TEXT($H31-$V$8,"[tt]:mm"),"-"&amp;TEXT(ABS($H31-$V$8),"[tt]:mm"))
),
IF(
OR($C31="Saturday",$C31="Sunday"),
IF($J31-$I31&gt;=0,TEXT($J31-$I31,"[tt]:mm"),"-"&amp;TEXT(ABS($J31-$I31),"[tt]:mm")),
IFERROR(
IF($G31-$V$8=0,
IF($G31-$V$8&gt;=0,TEXT($G31-$V$8,"[tt]:mm"),"-"&amp;TEXT(ABS($G31-$V$8),"[tt]:mm")),
IF($J31-$I31&gt;=0,TEXT($J31-$I31,"[tt]:mm"),"-"&amp;TEXT(ABS($J31-$I31),"[tt]:mm"))
),
IF(
$J31-$I31-$V$8&gt;=0,
TEXT($J31-$I31-$V$8,"[tt]:mm"),
"-"&amp;TEXT(ABS($J31-$I31-$V$8),"[tt]:mm")
)
)
)
)
))</f>
        <v>0:00</v>
      </c>
      <c r="L31" s="54" t="str">
        <f t="shared" si="3"/>
        <v>0</v>
      </c>
      <c r="M31" s="58" t="str">
        <f t="shared" si="4"/>
        <v>0:</v>
      </c>
      <c r="N31" s="51" t="str">
        <f t="shared" si="5"/>
        <v>0</v>
      </c>
      <c r="O31" s="57">
        <f t="shared" si="6"/>
        <v>0</v>
      </c>
      <c r="P31" s="6">
        <f t="shared" si="7"/>
        <v>0</v>
      </c>
      <c r="Q31" s="69"/>
    </row>
    <row r="32" spans="1:21" ht="15.75" x14ac:dyDescent="0.25">
      <c r="A32" s="12">
        <f t="shared" si="1"/>
        <v>35</v>
      </c>
      <c r="B32" s="13">
        <f t="shared" si="8"/>
        <v>45530</v>
      </c>
      <c r="C32" s="14" t="str" cm="1">
        <f t="array" ref="C32">_xlfn.SWITCH(WEEKDAY($D32, 2), 1, "Monday", 2, "Tuesday", 3, "Wednesday", 4, "Thursday", 5, "Friday", 6, "Saturday", 7, "Sunday")</f>
        <v>Monday</v>
      </c>
      <c r="D32">
        <f t="shared" si="0"/>
        <v>2</v>
      </c>
      <c r="E32" s="42">
        <f t="shared" si="2"/>
        <v>45530</v>
      </c>
      <c r="F32" s="15" t="s">
        <v>21</v>
      </c>
      <c r="G32" s="17">
        <f>IFERROR(
    IF($F32="N", $V$8,
        IF(OR(
            AND(Masterdata!$B$4&lt;&gt;DATE(1900,1,0), Masterdata!$B$4&lt;$E32),
            AND(Masterdata!$B$3&lt;&gt;DATE(1900,1,0), Masterdata!$B$3&gt;$E32)
        ),
        IF($H32&gt;=TIME(0,0,0), "Write in the next field", 0),
        IF($H32&gt;=TIME(0,0,0), "Write in the next field",
            IF($H32&gt;=0, 0,
                IF(OR($C32="Saturday", $C32="Sunday"), 0, 0)
            )
        )
    )),
"Write in the next field")</f>
        <v>0.30833333333333335</v>
      </c>
      <c r="H32" s="16">
        <v>0</v>
      </c>
      <c r="I32" s="16">
        <v>0</v>
      </c>
      <c r="J32" s="16">
        <v>0</v>
      </c>
      <c r="K32" s="63" t="str">
        <f>IF(F32="N","0:00",IF(
OR(
AND(Masterdata!$B$4&lt;&gt;DATE(1900,1,0),Masterdata!$B$4&lt;$E32),
AND(Masterdata!$B$3&lt;&gt;DATE(1900,1,0),Masterdata!$B$3&gt;$E32)
),
"0:00",
IF(
$H32&gt;TIME(0,0,0),
IF(
OR($C32="Saturday",$C32="Sunday"),
TEXT($H32,"[tt]:mm"),
IF($H32-$V$8&gt;=0,TEXT($H32-$V$8,"[tt]:mm"),"-"&amp;TEXT(ABS($H32-$V$8),"[tt]:mm"))
),
IF(
OR($C32="Saturday",$C32="Sunday"),
IF($J32-$I32&gt;=0,TEXT($J32-$I32,"[tt]:mm"),"-"&amp;TEXT(ABS($J32-$I32),"[tt]:mm")),
IFERROR(
IF($G32-$V$8=0,
IF($G32-$V$8&gt;=0,TEXT($G32-$V$8,"[tt]:mm"),"-"&amp;TEXT(ABS($G32-$V$8),"[tt]:mm")),
IF($J32-$I32&gt;=0,TEXT($J32-$I32,"[tt]:mm"),"-"&amp;TEXT(ABS($J32-$I32),"[tt]:mm"))
),
IF(
$J32-$I32-$V$8&gt;=0,
TEXT($J32-$I32-$V$8,"[tt]:mm"),
"-"&amp;TEXT(ABS($J32-$I32-$V$8),"[tt]:mm")
)
)
)
)
))</f>
        <v>0:00</v>
      </c>
      <c r="L32" s="54" t="str">
        <f t="shared" si="3"/>
        <v>0</v>
      </c>
      <c r="M32" s="58" t="str">
        <f t="shared" si="4"/>
        <v>0:</v>
      </c>
      <c r="N32" s="51" t="str">
        <f t="shared" si="5"/>
        <v>0</v>
      </c>
      <c r="O32" s="57">
        <f t="shared" si="6"/>
        <v>0</v>
      </c>
      <c r="P32" s="6">
        <f t="shared" si="7"/>
        <v>0</v>
      </c>
      <c r="Q32" s="69"/>
    </row>
    <row r="33" spans="1:17" ht="15.75" x14ac:dyDescent="0.25">
      <c r="A33" s="12">
        <f t="shared" si="1"/>
        <v>35</v>
      </c>
      <c r="B33" s="13">
        <f t="shared" si="8"/>
        <v>45531</v>
      </c>
      <c r="C33" s="14" t="str" cm="1">
        <f t="array" ref="C33">_xlfn.SWITCH(WEEKDAY($D33, 2), 1, "Monday", 2, "Tuesday", 3, "Wednesday", 4, "Thursday", 5, "Friday", 6, "Saturday", 7, "Sunday")</f>
        <v>Tuesday</v>
      </c>
      <c r="D33">
        <f t="shared" si="0"/>
        <v>3</v>
      </c>
      <c r="E33" s="42">
        <f t="shared" si="2"/>
        <v>45531</v>
      </c>
      <c r="F33" s="15" t="s">
        <v>21</v>
      </c>
      <c r="G33" s="17">
        <f>IFERROR(
    IF($F33="N", $V$8,
        IF(OR(
            AND(Masterdata!$B$4&lt;&gt;DATE(1900,1,0), Masterdata!$B$4&lt;$E33),
            AND(Masterdata!$B$3&lt;&gt;DATE(1900,1,0), Masterdata!$B$3&gt;$E33)
        ),
        IF($H33&gt;=TIME(0,0,0), "Write in the next field", 0),
        IF($H33&gt;=TIME(0,0,0), "Write in the next field",
            IF($H33&gt;=0, 0,
                IF(OR($C33="Saturday", $C33="Sunday"), 0, 0)
            )
        )
    )),
"Write in the next field")</f>
        <v>0.30833333333333335</v>
      </c>
      <c r="H33" s="16">
        <v>0</v>
      </c>
      <c r="I33" s="16">
        <v>0</v>
      </c>
      <c r="J33" s="16">
        <v>0</v>
      </c>
      <c r="K33" s="63" t="str">
        <f>IF(F33="N","0:00",IF(
OR(
AND(Masterdata!$B$4&lt;&gt;DATE(1900,1,0),Masterdata!$B$4&lt;$E33),
AND(Masterdata!$B$3&lt;&gt;DATE(1900,1,0),Masterdata!$B$3&gt;$E33)
),
"0:00",
IF(
$H33&gt;TIME(0,0,0),
IF(
OR($C33="Saturday",$C33="Sunday"),
TEXT($H33,"[tt]:mm"),
IF($H33-$V$8&gt;=0,TEXT($H33-$V$8,"[tt]:mm"),"-"&amp;TEXT(ABS($H33-$V$8),"[tt]:mm"))
),
IF(
OR($C33="Saturday",$C33="Sunday"),
IF($J33-$I33&gt;=0,TEXT($J33-$I33,"[tt]:mm"),"-"&amp;TEXT(ABS($J33-$I33),"[tt]:mm")),
IFERROR(
IF($G33-$V$8=0,
IF($G33-$V$8&gt;=0,TEXT($G33-$V$8,"[tt]:mm"),"-"&amp;TEXT(ABS($G33-$V$8),"[tt]:mm")),
IF($J33-$I33&gt;=0,TEXT($J33-$I33,"[tt]:mm"),"-"&amp;TEXT(ABS($J33-$I33),"[tt]:mm"))
),
IF(
$J33-$I33-$V$8&gt;=0,
TEXT($J33-$I33-$V$8,"[tt]:mm"),
"-"&amp;TEXT(ABS($J33-$I33-$V$8),"[tt]:mm")
)
)
)
)
))</f>
        <v>0:00</v>
      </c>
      <c r="L33" s="54" t="str">
        <f t="shared" si="3"/>
        <v>0</v>
      </c>
      <c r="M33" s="58" t="str">
        <f t="shared" si="4"/>
        <v>0:</v>
      </c>
      <c r="N33" s="51" t="str">
        <f t="shared" si="5"/>
        <v>0</v>
      </c>
      <c r="O33" s="57">
        <f t="shared" si="6"/>
        <v>0</v>
      </c>
      <c r="P33" s="6">
        <f t="shared" si="7"/>
        <v>0</v>
      </c>
      <c r="Q33" s="69"/>
    </row>
    <row r="34" spans="1:17" ht="15.75" x14ac:dyDescent="0.25">
      <c r="A34" s="12">
        <f t="shared" si="1"/>
        <v>35</v>
      </c>
      <c r="B34" s="13">
        <f t="shared" si="8"/>
        <v>45532</v>
      </c>
      <c r="C34" s="14" t="str" cm="1">
        <f t="array" ref="C34">_xlfn.SWITCH(WEEKDAY($D34, 2), 1, "Monday", 2, "Tuesday", 3, "Wednesday", 4, "Thursday", 5, "Friday", 6, "Saturday", 7, "Sunday")</f>
        <v>Wednesday</v>
      </c>
      <c r="D34">
        <f t="shared" si="0"/>
        <v>4</v>
      </c>
      <c r="E34" s="42">
        <f t="shared" si="2"/>
        <v>45532</v>
      </c>
      <c r="F34" s="15" t="s">
        <v>21</v>
      </c>
      <c r="G34" s="17">
        <f>IFERROR(
    IF($F34="N", $V$8,
        IF(OR(
            AND(Masterdata!$B$4&lt;&gt;DATE(1900,1,0), Masterdata!$B$4&lt;$E34),
            AND(Masterdata!$B$3&lt;&gt;DATE(1900,1,0), Masterdata!$B$3&gt;$E34)
        ),
        IF($H34&gt;=TIME(0,0,0), "Write in the next field", 0),
        IF($H34&gt;=TIME(0,0,0), "Write in the next field",
            IF($H34&gt;=0, 0,
                IF(OR($C34="Saturday", $C34="Sunday"), 0, 0)
            )
        )
    )),
"Write in the next field")</f>
        <v>0.30833333333333335</v>
      </c>
      <c r="H34" s="16">
        <v>0</v>
      </c>
      <c r="I34" s="16">
        <v>0</v>
      </c>
      <c r="J34" s="16">
        <v>0</v>
      </c>
      <c r="K34" s="63" t="str">
        <f>IF(F34="N","0:00",IF(
OR(
AND(Masterdata!$B$4&lt;&gt;DATE(1900,1,0),Masterdata!$B$4&lt;$E34),
AND(Masterdata!$B$3&lt;&gt;DATE(1900,1,0),Masterdata!$B$3&gt;$E34)
),
"0:00",
IF(
$H34&gt;TIME(0,0,0),
IF(
OR($C34="Saturday",$C34="Sunday"),
TEXT($H34,"[tt]:mm"),
IF($H34-$V$8&gt;=0,TEXT($H34-$V$8,"[tt]:mm"),"-"&amp;TEXT(ABS($H34-$V$8),"[tt]:mm"))
),
IF(
OR($C34="Saturday",$C34="Sunday"),
IF($J34-$I34&gt;=0,TEXT($J34-$I34,"[tt]:mm"),"-"&amp;TEXT(ABS($J34-$I34),"[tt]:mm")),
IFERROR(
IF($G34-$V$8=0,
IF($G34-$V$8&gt;=0,TEXT($G34-$V$8,"[tt]:mm"),"-"&amp;TEXT(ABS($G34-$V$8),"[tt]:mm")),
IF($J34-$I34&gt;=0,TEXT($J34-$I34,"[tt]:mm"),"-"&amp;TEXT(ABS($J34-$I34),"[tt]:mm"))
),
IF(
$J34-$I34-$V$8&gt;=0,
TEXT($J34-$I34-$V$8,"[tt]:mm"),
"-"&amp;TEXT(ABS($J34-$I34-$V$8),"[tt]:mm")
)
)
)
)
))</f>
        <v>0:00</v>
      </c>
      <c r="L34" s="54" t="str">
        <f t="shared" si="3"/>
        <v>0</v>
      </c>
      <c r="M34" s="58" t="str">
        <f t="shared" si="4"/>
        <v>0:</v>
      </c>
      <c r="N34" s="51" t="str">
        <f t="shared" si="5"/>
        <v>0</v>
      </c>
      <c r="O34" s="57">
        <f t="shared" si="6"/>
        <v>0</v>
      </c>
      <c r="P34" s="6">
        <f t="shared" si="7"/>
        <v>0</v>
      </c>
      <c r="Q34" s="69"/>
    </row>
    <row r="35" spans="1:17" ht="15.75" x14ac:dyDescent="0.25">
      <c r="A35" s="12">
        <f t="shared" si="1"/>
        <v>35</v>
      </c>
      <c r="B35" s="13">
        <f t="shared" si="8"/>
        <v>45533</v>
      </c>
      <c r="C35" s="14" t="str" cm="1">
        <f t="array" ref="C35">_xlfn.SWITCH(WEEKDAY($D35, 2), 1, "Monday", 2, "Tuesday", 3, "Wednesday", 4, "Thursday", 5, "Friday", 6, "Saturday", 7, "Sunday")</f>
        <v>Thursday</v>
      </c>
      <c r="D35">
        <f t="shared" si="0"/>
        <v>5</v>
      </c>
      <c r="E35" s="42">
        <f t="shared" si="2"/>
        <v>45533</v>
      </c>
      <c r="F35" s="15" t="s">
        <v>21</v>
      </c>
      <c r="G35" s="17">
        <f>IFERROR(
    IF($F35="N", $V$8,
        IF(OR(
            AND(Masterdata!$B$4&lt;&gt;DATE(1900,1,0), Masterdata!$B$4&lt;$E35),
            AND(Masterdata!$B$3&lt;&gt;DATE(1900,1,0), Masterdata!$B$3&gt;$E35)
        ),
        IF($H35&gt;=TIME(0,0,0), "Write in the next field", 0),
        IF($H35&gt;=TIME(0,0,0), "Write in the next field",
            IF($H35&gt;=0, 0,
                IF(OR($C35="Saturday", $C35="Sunday"), 0, 0)
            )
        )
    )),
"Write in the next field")</f>
        <v>0.30833333333333335</v>
      </c>
      <c r="H35" s="16">
        <v>0</v>
      </c>
      <c r="I35" s="16">
        <v>0</v>
      </c>
      <c r="J35" s="16">
        <v>0</v>
      </c>
      <c r="K35" s="63" t="str">
        <f>IF(F35="N","0:00",IF(
OR(
AND(Masterdata!$B$4&lt;&gt;DATE(1900,1,0),Masterdata!$B$4&lt;$E35),
AND(Masterdata!$B$3&lt;&gt;DATE(1900,1,0),Masterdata!$B$3&gt;$E35)
),
"0:00",
IF(
$H35&gt;TIME(0,0,0),
IF(
OR($C35="Saturday",$C35="Sunday"),
TEXT($H35,"[tt]:mm"),
IF($H35-$V$8&gt;=0,TEXT($H35-$V$8,"[tt]:mm"),"-"&amp;TEXT(ABS($H35-$V$8),"[tt]:mm"))
),
IF(
OR($C35="Saturday",$C35="Sunday"),
IF($J35-$I35&gt;=0,TEXT($J35-$I35,"[tt]:mm"),"-"&amp;TEXT(ABS($J35-$I35),"[tt]:mm")),
IFERROR(
IF($G35-$V$8=0,
IF($G35-$V$8&gt;=0,TEXT($G35-$V$8,"[tt]:mm"),"-"&amp;TEXT(ABS($G35-$V$8),"[tt]:mm")),
IF($J35-$I35&gt;=0,TEXT($J35-$I35,"[tt]:mm"),"-"&amp;TEXT(ABS($J35-$I35),"[tt]:mm"))
),
IF(
$J35-$I35-$V$8&gt;=0,
TEXT($J35-$I35-$V$8,"[tt]:mm"),
"-"&amp;TEXT(ABS($J35-$I35-$V$8),"[tt]:mm")
)
)
)
)
))</f>
        <v>0:00</v>
      </c>
      <c r="L35" s="54" t="str">
        <f t="shared" si="3"/>
        <v>0</v>
      </c>
      <c r="M35" s="58" t="str">
        <f t="shared" si="4"/>
        <v>0:</v>
      </c>
      <c r="N35" s="51" t="str">
        <f t="shared" si="5"/>
        <v>0</v>
      </c>
      <c r="O35" s="57">
        <f t="shared" si="6"/>
        <v>0</v>
      </c>
      <c r="P35" s="6">
        <f t="shared" si="7"/>
        <v>0</v>
      </c>
      <c r="Q35" s="69"/>
    </row>
    <row r="36" spans="1:17" ht="15.75" x14ac:dyDescent="0.25">
      <c r="A36" s="12">
        <f t="shared" si="1"/>
        <v>35</v>
      </c>
      <c r="B36" s="13">
        <f t="shared" si="8"/>
        <v>45534</v>
      </c>
      <c r="C36" s="14" t="str" cm="1">
        <f t="array" ref="C36">_xlfn.SWITCH(WEEKDAY($D36, 2), 1, "Monday", 2, "Tuesday", 3, "Wednesday", 4, "Thursday", 5, "Friday", 6, "Saturday", 7, "Sunday")</f>
        <v>Friday</v>
      </c>
      <c r="D36">
        <f t="shared" si="0"/>
        <v>6</v>
      </c>
      <c r="E36" s="42">
        <f t="shared" si="2"/>
        <v>45534</v>
      </c>
      <c r="F36" s="15" t="s">
        <v>21</v>
      </c>
      <c r="G36" s="17">
        <f>IFERROR(
    IF($F36="N", $V$8,
        IF(OR(
            AND(Masterdata!$B$4&lt;&gt;DATE(1900,1,0), Masterdata!$B$4&lt;$E36),
            AND(Masterdata!$B$3&lt;&gt;DATE(1900,1,0), Masterdata!$B$3&gt;$E36)
        ),
        IF($H36&gt;=TIME(0,0,0), "Write in the next field", 0),
        IF($H36&gt;=TIME(0,0,0), "Write in the next field",
            IF($H36&gt;=0, 0,
                IF(OR($C36="Saturday", $C36="Sunday"), 0, 0)
            )
        )
    )),
"Write in the next field")</f>
        <v>0.30833333333333335</v>
      </c>
      <c r="H36" s="16">
        <v>0</v>
      </c>
      <c r="I36" s="16">
        <v>0</v>
      </c>
      <c r="J36" s="16">
        <v>0</v>
      </c>
      <c r="K36" s="63" t="str">
        <f>IF(F36="N","0:00",IF(
OR(
AND(Masterdata!$B$4&lt;&gt;DATE(1900,1,0),Masterdata!$B$4&lt;$E36),
AND(Masterdata!$B$3&lt;&gt;DATE(1900,1,0),Masterdata!$B$3&gt;$E36)
),
"0:00",
IF(
$H36&gt;TIME(0,0,0),
IF(
OR($C36="Saturday",$C36="Sunday"),
TEXT($H36,"[tt]:mm"),
IF($H36-$V$8&gt;=0,TEXT($H36-$V$8,"[tt]:mm"),"-"&amp;TEXT(ABS($H36-$V$8),"[tt]:mm"))
),
IF(
OR($C36="Saturday",$C36="Sunday"),
IF($J36-$I36&gt;=0,TEXT($J36-$I36,"[tt]:mm"),"-"&amp;TEXT(ABS($J36-$I36),"[tt]:mm")),
IFERROR(
IF($G36-$V$8=0,
IF($G36-$V$8&gt;=0,TEXT($G36-$V$8,"[tt]:mm"),"-"&amp;TEXT(ABS($G36-$V$8),"[tt]:mm")),
IF($J36-$I36&gt;=0,TEXT($J36-$I36,"[tt]:mm"),"-"&amp;TEXT(ABS($J36-$I36),"[tt]:mm"))
),
IF(
$J36-$I36-$V$8&gt;=0,
TEXT($J36-$I36-$V$8,"[tt]:mm"),
"-"&amp;TEXT(ABS($J36-$I36-$V$8),"[tt]:mm")
)
)
)
)
))</f>
        <v>0:00</v>
      </c>
      <c r="L36" s="54" t="str">
        <f t="shared" si="3"/>
        <v>0</v>
      </c>
      <c r="M36" s="58" t="str">
        <f t="shared" si="4"/>
        <v>0:</v>
      </c>
      <c r="N36" s="51" t="str">
        <f t="shared" si="5"/>
        <v>0</v>
      </c>
      <c r="O36" s="57">
        <f t="shared" si="6"/>
        <v>0</v>
      </c>
      <c r="P36" s="6">
        <f t="shared" si="7"/>
        <v>0</v>
      </c>
      <c r="Q36" s="69"/>
    </row>
    <row r="37" spans="1:17" ht="15.75" x14ac:dyDescent="0.25">
      <c r="A37" s="12">
        <f t="shared" si="1"/>
        <v>35</v>
      </c>
      <c r="B37" s="13">
        <f t="shared" si="8"/>
        <v>45535</v>
      </c>
      <c r="C37" s="14" t="str" cm="1">
        <f t="array" ref="C37">_xlfn.SWITCH(WEEKDAY($D37, 2), 1, "Monday", 2, "Tuesday", 3, "Wednesday", 4, "Thursday", 5, "Friday", 6, "Saturday", 7, "Sunday")</f>
        <v>Saturday</v>
      </c>
      <c r="D37">
        <f t="shared" si="0"/>
        <v>7</v>
      </c>
      <c r="E37" s="42">
        <f t="shared" si="2"/>
        <v>45535</v>
      </c>
      <c r="F37" s="15" t="s">
        <v>21</v>
      </c>
      <c r="G37" s="17">
        <f>IF($F37="N",0,"Write in the next field")</f>
        <v>0</v>
      </c>
      <c r="H37" s="16">
        <v>0</v>
      </c>
      <c r="I37" s="16">
        <v>0</v>
      </c>
      <c r="J37" s="16">
        <v>0</v>
      </c>
      <c r="K37" s="63" t="str">
        <f>IF(F37="N","0:00",IF(
OR(
AND(Masterdata!$B$4&lt;&gt;DATE(1900,1,0),Masterdata!$B$4&lt;$E37),
AND(Masterdata!$B$3&lt;&gt;DATE(1900,1,0),Masterdata!$B$3&gt;$E37)
),
"0:00",
IF(
$H37&gt;TIME(0,0,0),
IF(
OR($C37="Saturday",$C37="Sunday"),
TEXT($H37,"[tt]:mm"),
IF($H37-$V$8&gt;=0,TEXT($H37-$V$8,"[tt]:mm"),"-"&amp;TEXT(ABS($H37-$V$8),"[tt]:mm"))
),
IF(
OR($C37="Saturday",$C37="Sunday"),
IF($J37-$I37&gt;=0,TEXT($J37-$I37,"[tt]:mm"),"-"&amp;TEXT(ABS($J37-$I37),"[tt]:mm")),
IFERROR(
IF($G37-$V$8=0,
IF($G37-$V$8&gt;=0,TEXT($G37-$V$8,"[tt]:mm"),"-"&amp;TEXT(ABS($G37-$V$8),"[tt]:mm")),
IF($J37-$I37&gt;=0,TEXT($J37-$I37,"[tt]:mm"),"-"&amp;TEXT(ABS($J37-$I37),"[tt]:mm"))
),
IF(
$J37-$I37-$V$8&gt;=0,
TEXT($J37-$I37-$V$8,"[tt]:mm"),
"-"&amp;TEXT(ABS($J37-$I37-$V$8),"[tt]:mm")
)
)
)
)
))</f>
        <v>0:00</v>
      </c>
      <c r="L37" s="54" t="str">
        <f t="shared" si="3"/>
        <v>0</v>
      </c>
      <c r="M37" s="58" t="str">
        <f t="shared" si="4"/>
        <v>0:</v>
      </c>
      <c r="N37" s="51" t="str">
        <f t="shared" si="5"/>
        <v>0</v>
      </c>
      <c r="O37" s="57">
        <f t="shared" si="6"/>
        <v>0</v>
      </c>
      <c r="P37" s="6">
        <f t="shared" si="7"/>
        <v>0</v>
      </c>
      <c r="Q37" s="69"/>
    </row>
    <row r="38" spans="1:17" x14ac:dyDescent="0.25">
      <c r="K38" s="8"/>
      <c r="P38" s="6">
        <f>SUM(P7:P37)</f>
        <v>0</v>
      </c>
    </row>
  </sheetData>
  <sheetProtection algorithmName="SHA-512" hashValue="/WMJfD0u8f1yibRF7n+bFMY0gaOQK3kDKEEgOjUI+wIB1OjaKuPz/AyWMhlxrBguF0XVdZLKBoFADdYu03cFsw==" saltValue="a2xVwEvMT+TMAqgWPeLKqQ==" spinCount="100000" sheet="1" objects="1" scenarios="1"/>
  <conditionalFormatting sqref="A7:G37">
    <cfRule type="expression" dxfId="26" priority="1">
      <formula>OR($C7="Saturday", $C7="Sunday")</formula>
    </cfRule>
  </conditionalFormatting>
  <conditionalFormatting sqref="G7:G37">
    <cfRule type="expression" dxfId="25" priority="2">
      <formula>AND($F7="N", NOT(OR($C7="Saturday", $C7="Sunday")))</formula>
    </cfRule>
  </conditionalFormatting>
  <conditionalFormatting sqref="H7:J37">
    <cfRule type="expression" dxfId="24" priority="159">
      <formula>OR($F7="N")</formula>
    </cfRule>
    <cfRule type="expression" dxfId="23" priority="161">
      <formula>$F7="R"</formula>
    </cfRule>
  </conditionalFormatting>
  <dataValidations count="1">
    <dataValidation type="list" allowBlank="1" showInputMessage="1" showErrorMessage="1" sqref="F7:F37" xr:uid="{D3F23BC2-CA84-45EA-A907-AAA358F2BAFF}">
      <formula1>$Q$2:$Q$3</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27CD-2867-4B56-A4DB-2765946A51B9}">
  <dimension ref="A1:X37"/>
  <sheetViews>
    <sheetView zoomScale="70" zoomScaleNormal="70" workbookViewId="0">
      <selection activeCell="R3" sqref="R3"/>
    </sheetView>
  </sheetViews>
  <sheetFormatPr defaultRowHeight="15" outlineLevelCol="1" x14ac:dyDescent="0.25"/>
  <cols>
    <col min="1" max="1" width="20.85546875" bestFit="1" customWidth="1"/>
    <col min="2" max="2" width="14.140625" customWidth="1"/>
    <col min="3" max="3" width="13" bestFit="1" customWidth="1"/>
    <col min="4" max="4" width="15" hidden="1" customWidth="1"/>
    <col min="5" max="5" width="12.85546875" hidden="1" customWidth="1"/>
    <col min="6" max="6" width="11.28515625" customWidth="1"/>
    <col min="7" max="8" width="20.85546875" bestFit="1" customWidth="1"/>
    <col min="9" max="10" width="11.28515625" customWidth="1"/>
    <col min="11" max="11" width="17.28515625" bestFit="1" customWidth="1"/>
    <col min="12" max="16" width="11.5703125" hidden="1" customWidth="1" outlineLevel="1"/>
    <col min="17" max="17" width="28.710937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83" t="str">
        <f>Masterdata!B13</f>
        <v>Standard work hours</v>
      </c>
      <c r="B1" s="37">
        <v>37</v>
      </c>
      <c r="Q1" s="45" t="s">
        <v>84</v>
      </c>
      <c r="R1" s="46" t="s">
        <v>85</v>
      </c>
    </row>
    <row r="2" spans="1:24" ht="30.75" x14ac:dyDescent="0.25">
      <c r="A2" s="34" t="s">
        <v>79</v>
      </c>
      <c r="B2" s="84" t="str">
        <f>IF(P37&lt;0,"-"&amp;TEXT(ABS(P37/24),"[TT]:mm"),TEXT(P37/24,"[TT]:mm"))</f>
        <v>00:00</v>
      </c>
      <c r="Q2" s="47" t="s">
        <v>21</v>
      </c>
      <c r="R2" s="49" t="s">
        <v>86</v>
      </c>
    </row>
    <row r="3" spans="1:24" ht="63" x14ac:dyDescent="0.25">
      <c r="A3" s="39" t="s">
        <v>72</v>
      </c>
      <c r="B3" s="40">
        <f>B7</f>
        <v>45536</v>
      </c>
      <c r="Q3" s="48" t="s">
        <v>23</v>
      </c>
      <c r="R3" s="82" t="s">
        <v>97</v>
      </c>
    </row>
    <row r="4" spans="1:24" ht="16.5" thickBot="1" x14ac:dyDescent="0.3">
      <c r="A4" s="35" t="s">
        <v>81</v>
      </c>
      <c r="B4" s="41" t="s">
        <v>13</v>
      </c>
      <c r="Q4" s="44" t="s">
        <v>87</v>
      </c>
      <c r="R4" s="43" t="s">
        <v>88</v>
      </c>
    </row>
    <row r="5" spans="1:24" ht="15.75" thickBot="1" x14ac:dyDescent="0.3"/>
    <row r="6" spans="1:24" ht="21.75" customHeight="1" thickBot="1" x14ac:dyDescent="0.3">
      <c r="A6" s="9" t="s">
        <v>89</v>
      </c>
      <c r="B6" s="10" t="s">
        <v>90</v>
      </c>
      <c r="C6" s="10" t="s">
        <v>91</v>
      </c>
      <c r="D6" s="10" t="s">
        <v>30</v>
      </c>
      <c r="E6" s="10" t="s">
        <v>31</v>
      </c>
      <c r="F6" s="10" t="s">
        <v>84</v>
      </c>
      <c r="G6" s="10" t="s">
        <v>77</v>
      </c>
      <c r="H6" s="10" t="s">
        <v>92</v>
      </c>
      <c r="I6" s="11" t="s">
        <v>34</v>
      </c>
      <c r="J6" s="11" t="s">
        <v>93</v>
      </c>
      <c r="K6" s="10" t="s">
        <v>94</v>
      </c>
      <c r="L6" s="55" t="s">
        <v>37</v>
      </c>
      <c r="M6" s="56" t="s">
        <v>38</v>
      </c>
      <c r="N6" s="56" t="s">
        <v>39</v>
      </c>
      <c r="O6" s="56"/>
      <c r="Q6" s="10" t="s">
        <v>95</v>
      </c>
      <c r="U6" t="s">
        <v>41</v>
      </c>
      <c r="V6">
        <v>5</v>
      </c>
    </row>
    <row r="7" spans="1:24" ht="15.75" x14ac:dyDescent="0.25">
      <c r="A7" s="12">
        <f>WEEKNUM($B7,21)</f>
        <v>35</v>
      </c>
      <c r="B7" s="13">
        <f>DATE(Masterdata!$B$5,9,1)</f>
        <v>45536</v>
      </c>
      <c r="C7" s="14" t="str" cm="1">
        <f t="array" ref="C7">_xlfn.SWITCH(WEEKDAY($D7, 2), 1, "Monday", 2, "Tuesday", 3, "Wednesday", 4, "Thursday", 5, "Friday", 6, "Saturday", 7, "Sunday")</f>
        <v>Sunday</v>
      </c>
      <c r="D7">
        <f t="shared" ref="D7:D36" si="0">WEEKDAY($B7, 2)+1</f>
        <v>8</v>
      </c>
      <c r="E7" s="42">
        <f>$B7</f>
        <v>45536</v>
      </c>
      <c r="F7" s="15" t="s">
        <v>21</v>
      </c>
      <c r="G7" s="17">
        <f>IF($F7="N",0,"Write in the next field")</f>
        <v>0</v>
      </c>
      <c r="H7" s="16">
        <v>0</v>
      </c>
      <c r="I7" s="16">
        <v>0</v>
      </c>
      <c r="J7" s="16">
        <v>0</v>
      </c>
      <c r="K7" s="63" t="str">
        <f>IF(F7="N","0:00",IF(
OR(
AND(Masterdata!$B$4&lt;&gt;DATE(1900,1,0),Masterdata!$B$4&lt;$E7),
AND(Masterdata!$B$3&lt;&gt;DATE(1900,1,0),Masterdata!$B$3&gt;$E7)
),
"0:00",
IF(
$H7&gt;TIME(0,0,0),
IF(
OR($C7="Saturday",$C7="Sunday"),
TEXT($H7,"[tt]:mm"),
IF($H7-$V$8&gt;=0,TEXT($H7-$V$8,"[tt]:mm"),"-"&amp;TEXT(ABS($H7-$V$8),"[tt]:mm"))
),
IF(
OR($C7="Saturday",$C7="Sunday"),
IF($J7-$I7&gt;=0,TEXT($J7-$I7,"[tt]:mm"),"-"&amp;TEXT(ABS($J7-$I7),"[tt]:mm")),
IFERROR(
IF($G7-$V$8=0,
IF($G7-$V$8&gt;=0,TEXT($G7-$V$8,"[tt]:mm"),"-"&amp;TEXT(ABS($G7-$V$8),"[tt]:mm")),
IF($J7-$I7&gt;=0,TEXT($J7-$I7,"[tt]:mm"),"-"&amp;TEXT(ABS($J7-$I7),"[tt]:mm"))
),
IF(
$J7-$I7-$V$8&gt;=0,
TEXT($J7-$I7-$V$8,"[tt]:mm"),
"-"&amp;TEXT(ABS($J7-$I7-$V$8),"[tt]:mm")
)
)
)
)
))</f>
        <v>0:00</v>
      </c>
      <c r="L7" s="54" t="str">
        <f>LEFT(K7,1)</f>
        <v>0</v>
      </c>
      <c r="M7" s="58" t="str">
        <f>IF($L7="-",LEFT($K7,3),LEFT($K7,2))</f>
        <v>0:</v>
      </c>
      <c r="N7" s="51" t="str">
        <f>IF($L7="-",MID($K7,5,2),MID($K7,4,2))</f>
        <v>0</v>
      </c>
      <c r="O7" s="57">
        <f>N7/60</f>
        <v>0</v>
      </c>
      <c r="P7" s="6">
        <f>IF(L7="-",M7-O7,M7+O7)</f>
        <v>0</v>
      </c>
      <c r="Q7" s="68"/>
      <c r="R7" s="53"/>
      <c r="U7" t="s">
        <v>42</v>
      </c>
      <c r="V7" s="3">
        <f>B1/V6</f>
        <v>7.4</v>
      </c>
      <c r="W7">
        <v>0</v>
      </c>
      <c r="X7" s="8"/>
    </row>
    <row r="8" spans="1:24" ht="15.75" x14ac:dyDescent="0.25">
      <c r="A8" s="12">
        <f t="shared" ref="A8:A36" si="1">WEEKNUM($B8,21)</f>
        <v>36</v>
      </c>
      <c r="B8" s="13">
        <f>B7+1</f>
        <v>45537</v>
      </c>
      <c r="C8" s="14" t="str" cm="1">
        <f t="array" ref="C8">_xlfn.SWITCH(WEEKDAY($D8, 2), 1, "Monday", 2, "Tuesday", 3, "Wednesday", 4, "Thursday", 5, "Friday", 6, "Saturday", 7, "Sunday")</f>
        <v>Monday</v>
      </c>
      <c r="D8">
        <f t="shared" si="0"/>
        <v>2</v>
      </c>
      <c r="E8" s="42">
        <f t="shared" ref="E8:E36" si="2">$B8</f>
        <v>45537</v>
      </c>
      <c r="F8" s="15" t="s">
        <v>21</v>
      </c>
      <c r="G8" s="17">
        <f>IFERROR(
    IF($F8="N", $V$8,
        IF(OR(
            AND(Masterdata!$B$4&lt;&gt;DATE(1900,1,0), Masterdata!$B$4&lt;$E8),
            AND(Masterdata!$B$3&lt;&gt;DATE(1900,1,0), Masterdata!$B$3&gt;$E8)
        ),
        IF($H8&gt;=TIME(0,0,0), "Write in the next field", 0),
        IF($H8&gt;=TIME(0,0,0), "Write in the next field",
            IF($H8&gt;=0, 0,
                IF(OR($C8="Saturday", $C8="Sunday"), 0, 0)
            )
        )
    )),
"Write in the next field")</f>
        <v>0.30833333333333335</v>
      </c>
      <c r="H8" s="16">
        <v>0</v>
      </c>
      <c r="I8" s="16">
        <v>0</v>
      </c>
      <c r="J8" s="16">
        <v>0</v>
      </c>
      <c r="K8" s="63" t="str">
        <f>IF(F8="N","0:00",IF(
OR(
AND(Masterdata!$B$4&lt;&gt;DATE(1900,1,0),Masterdata!$B$4&lt;$E8),
AND(Masterdata!$B$3&lt;&gt;DATE(1900,1,0),Masterdata!$B$3&gt;$E8)
),
"0:00",
IF(
$H8&gt;TIME(0,0,0),
IF(
OR($C8="Saturday",$C8="Sunday"),
TEXT($H8,"[tt]:mm"),
IF($H8-$V$8&gt;=0,TEXT($H8-$V$8,"[tt]:mm"),"-"&amp;TEXT(ABS($H8-$V$8),"[tt]:mm"))
),
IF(
OR($C8="Saturday",$C8="Sunday"),
IF($J8-$I8&gt;=0,TEXT($J8-$I8,"[tt]:mm"),"-"&amp;TEXT(ABS($J8-$I8),"[tt]:mm")),
IFERROR(
IF($G8-$V$8=0,
IF($G8-$V$8&gt;=0,TEXT($G8-$V$8,"[tt]:mm"),"-"&amp;TEXT(ABS($G8-$V$8),"[tt]:mm")),
IF($J8-$I8&gt;=0,TEXT($J8-$I8,"[tt]:mm"),"-"&amp;TEXT(ABS($J8-$I8),"[tt]:mm"))
),
IF(
$J8-$I8-$V$8&gt;=0,
TEXT($J8-$I8-$V$8,"[tt]:mm"),
"-"&amp;TEXT(ABS($J8-$I8-$V$8),"[tt]:mm")
)
)
)
)
))</f>
        <v>0:00</v>
      </c>
      <c r="L8" s="54" t="str">
        <f t="shared" ref="L8:L36" si="3">LEFT(K8,1)</f>
        <v>0</v>
      </c>
      <c r="M8" s="58" t="str">
        <f t="shared" ref="M8:M36" si="4">IF($L8="-",LEFT($K8,3),LEFT($K8,2))</f>
        <v>0:</v>
      </c>
      <c r="N8" s="51" t="str">
        <f t="shared" ref="N8:N36" si="5">IF($L8="-",MID($K8,5,2),MID($K8,4,2))</f>
        <v>0</v>
      </c>
      <c r="O8" s="57">
        <f t="shared" ref="O8:O36" si="6">N8/60</f>
        <v>0</v>
      </c>
      <c r="P8" s="6">
        <f t="shared" ref="P8:P36" si="7">IF(L8="-",M8-O8,M8+O8)</f>
        <v>0</v>
      </c>
      <c r="Q8" s="69"/>
      <c r="U8" t="s">
        <v>43</v>
      </c>
      <c r="V8" s="8">
        <f>V7/24</f>
        <v>0.30833333333333335</v>
      </c>
    </row>
    <row r="9" spans="1:24" ht="15.75" x14ac:dyDescent="0.25">
      <c r="A9" s="12">
        <f t="shared" si="1"/>
        <v>36</v>
      </c>
      <c r="B9" s="13">
        <f t="shared" ref="B9:B36" si="8">B8+1</f>
        <v>45538</v>
      </c>
      <c r="C9" s="14" t="str" cm="1">
        <f t="array" ref="C9">_xlfn.SWITCH(WEEKDAY($D9, 2), 1, "Monday", 2, "Tuesday", 3, "Wednesday", 4, "Thursday", 5, "Friday", 6, "Saturday", 7, "Sunday")</f>
        <v>Tuesday</v>
      </c>
      <c r="D9">
        <f t="shared" si="0"/>
        <v>3</v>
      </c>
      <c r="E9" s="42">
        <f t="shared" si="2"/>
        <v>45538</v>
      </c>
      <c r="F9" s="15" t="s">
        <v>21</v>
      </c>
      <c r="G9" s="17">
        <f>IFERROR(
    IF($F9="N", $V$8,
        IF(OR(
            AND(Masterdata!$B$4&lt;&gt;DATE(1900,1,0), Masterdata!$B$4&lt;$E9),
            AND(Masterdata!$B$3&lt;&gt;DATE(1900,1,0), Masterdata!$B$3&gt;$E9)
        ),
        IF($H9&gt;=TIME(0,0,0), "Write in the next field", 0),
        IF($H9&gt;=TIME(0,0,0), "Write in the next field",
            IF($H9&gt;=0, 0,
                IF(OR($C9="Saturday", $C9="Sunday"), 0, 0)
            )
        )
    )),
"Write in the next field")</f>
        <v>0.30833333333333335</v>
      </c>
      <c r="H9" s="16">
        <v>0</v>
      </c>
      <c r="I9" s="16">
        <v>0</v>
      </c>
      <c r="J9" s="16">
        <v>0</v>
      </c>
      <c r="K9" s="63" t="str">
        <f>IF(F9="N","0:00",IF(
OR(
AND(Masterdata!$B$4&lt;&gt;DATE(1900,1,0),Masterdata!$B$4&lt;$E9),
AND(Masterdata!$B$3&lt;&gt;DATE(1900,1,0),Masterdata!$B$3&gt;$E9)
),
"0:00",
IF(
$H9&gt;TIME(0,0,0),
IF(
OR($C9="Saturday",$C9="Sunday"),
TEXT($H9,"[tt]:mm"),
IF($H9-$V$8&gt;=0,TEXT($H9-$V$8,"[tt]:mm"),"-"&amp;TEXT(ABS($H9-$V$8),"[tt]:mm"))
),
IF(
OR($C9="Saturday",$C9="Sunday"),
IF($J9-$I9&gt;=0,TEXT($J9-$I9,"[tt]:mm"),"-"&amp;TEXT(ABS($J9-$I9),"[tt]:mm")),
IFERROR(
IF($G9-$V$8=0,
IF($G9-$V$8&gt;=0,TEXT($G9-$V$8,"[tt]:mm"),"-"&amp;TEXT(ABS($G9-$V$8),"[tt]:mm")),
IF($J9-$I9&gt;=0,TEXT($J9-$I9,"[tt]:mm"),"-"&amp;TEXT(ABS($J9-$I9),"[tt]:mm"))
),
IF(
$J9-$I9-$V$8&gt;=0,
TEXT($J9-$I9-$V$8,"[tt]:mm"),
"-"&amp;TEXT(ABS($J9-$I9-$V$8),"[tt]:mm")
)
)
)
)
))</f>
        <v>0:00</v>
      </c>
      <c r="L9" s="54" t="str">
        <f t="shared" si="3"/>
        <v>0</v>
      </c>
      <c r="M9" s="58" t="str">
        <f t="shared" si="4"/>
        <v>0:</v>
      </c>
      <c r="N9" s="51" t="str">
        <f t="shared" si="5"/>
        <v>0</v>
      </c>
      <c r="O9" s="57">
        <f t="shared" si="6"/>
        <v>0</v>
      </c>
      <c r="P9" s="6">
        <f t="shared" si="7"/>
        <v>0</v>
      </c>
      <c r="Q9" s="69"/>
      <c r="S9" t="s">
        <v>21</v>
      </c>
      <c r="T9" t="s">
        <v>44</v>
      </c>
      <c r="U9" t="s">
        <v>45</v>
      </c>
      <c r="V9" s="6">
        <f>(B1/37)*160.33</f>
        <v>160.33000000000001</v>
      </c>
    </row>
    <row r="10" spans="1:24" ht="15.75" x14ac:dyDescent="0.25">
      <c r="A10" s="12">
        <f t="shared" si="1"/>
        <v>36</v>
      </c>
      <c r="B10" s="13">
        <f t="shared" si="8"/>
        <v>45539</v>
      </c>
      <c r="C10" s="14" t="str" cm="1">
        <f t="array" ref="C10">_xlfn.SWITCH(WEEKDAY($D10, 2), 1, "Monday", 2, "Tuesday", 3, "Wednesday", 4, "Thursday", 5, "Friday", 6, "Saturday", 7, "Sunday")</f>
        <v>Wednesday</v>
      </c>
      <c r="D10">
        <f t="shared" si="0"/>
        <v>4</v>
      </c>
      <c r="E10" s="42">
        <f t="shared" si="2"/>
        <v>45539</v>
      </c>
      <c r="F10" s="15" t="s">
        <v>21</v>
      </c>
      <c r="G10" s="17">
        <f>IFERROR(
    IF($F10="N", $V$8,
        IF(OR(
            AND(Masterdata!$B$4&lt;&gt;DATE(1900,1,0), Masterdata!$B$4&lt;$E10),
            AND(Masterdata!$B$3&lt;&gt;DATE(1900,1,0), Masterdata!$B$3&gt;$E10)
        ),
        IF($H10&gt;=TIME(0,0,0), "Write in the next field", 0),
        IF($H10&gt;=TIME(0,0,0), "Write in the next field",
            IF($H10&gt;=0, 0,
                IF(OR($C10="Saturday", $C10="Sunday"), 0, 0)
            )
        )
    )),
"Write in the next field")</f>
        <v>0.30833333333333335</v>
      </c>
      <c r="H10" s="16">
        <v>0</v>
      </c>
      <c r="I10" s="16">
        <v>0</v>
      </c>
      <c r="J10" s="16">
        <v>0</v>
      </c>
      <c r="K10" s="63" t="str">
        <f>IF(F10="N","0:00",IF(
OR(
AND(Masterdata!$B$4&lt;&gt;DATE(1900,1,0),Masterdata!$B$4&lt;$E10),
AND(Masterdata!$B$3&lt;&gt;DATE(1900,1,0),Masterdata!$B$3&gt;$E10)
),
"0:00",
IF(
$H10&gt;TIME(0,0,0),
IF(
OR($C10="Saturday",$C10="Sunday"),
TEXT($H10,"[tt]:mm"),
IF($H10-$V$8&gt;=0,TEXT($H10-$V$8,"[tt]:mm"),"-"&amp;TEXT(ABS($H10-$V$8),"[tt]:mm"))
),
IF(
OR($C10="Saturday",$C10="Sunday"),
IF($J10-$I10&gt;=0,TEXT($J10-$I10,"[tt]:mm"),"-"&amp;TEXT(ABS($J10-$I10),"[tt]:mm")),
IFERROR(
IF($G10-$V$8=0,
IF($G10-$V$8&gt;=0,TEXT($G10-$V$8,"[tt]:mm"),"-"&amp;TEXT(ABS($G10-$V$8),"[tt]:mm")),
IF($J10-$I10&gt;=0,TEXT($J10-$I10,"[tt]:mm"),"-"&amp;TEXT(ABS($J10-$I10),"[tt]:mm"))
),
IF(
$J10-$I10-$V$8&gt;=0,
TEXT($J10-$I10-$V$8,"[tt]:mm"),
"-"&amp;TEXT(ABS($J10-$I10-$V$8),"[tt]:mm")
)
)
)
)
))</f>
        <v>0:00</v>
      </c>
      <c r="L10" s="54" t="str">
        <f t="shared" si="3"/>
        <v>0</v>
      </c>
      <c r="M10" s="58" t="str">
        <f t="shared" si="4"/>
        <v>0:</v>
      </c>
      <c r="N10" s="51" t="str">
        <f t="shared" si="5"/>
        <v>0</v>
      </c>
      <c r="O10" s="57">
        <f t="shared" si="6"/>
        <v>0</v>
      </c>
      <c r="P10" s="6">
        <f t="shared" si="7"/>
        <v>0</v>
      </c>
      <c r="Q10" s="69"/>
    </row>
    <row r="11" spans="1:24" ht="15.75" x14ac:dyDescent="0.25">
      <c r="A11" s="12">
        <f t="shared" si="1"/>
        <v>36</v>
      </c>
      <c r="B11" s="13">
        <f t="shared" si="8"/>
        <v>45540</v>
      </c>
      <c r="C11" s="14" t="str" cm="1">
        <f t="array" ref="C11">_xlfn.SWITCH(WEEKDAY($D11, 2), 1, "Monday", 2, "Tuesday", 3, "Wednesday", 4, "Thursday", 5, "Friday", 6, "Saturday", 7, "Sunday")</f>
        <v>Thursday</v>
      </c>
      <c r="D11">
        <f t="shared" si="0"/>
        <v>5</v>
      </c>
      <c r="E11" s="42">
        <f t="shared" si="2"/>
        <v>45540</v>
      </c>
      <c r="F11" s="15" t="s">
        <v>21</v>
      </c>
      <c r="G11" s="17">
        <f>IFERROR(
    IF($F11="N", $V$8,
        IF(OR(
            AND(Masterdata!$B$4&lt;&gt;DATE(1900,1,0), Masterdata!$B$4&lt;$E11),
            AND(Masterdata!$B$3&lt;&gt;DATE(1900,1,0), Masterdata!$B$3&gt;$E11)
        ),
        IF($H11&gt;=TIME(0,0,0), "Write in the next field", 0),
        IF($H11&gt;=TIME(0,0,0), "Write in the next field",
            IF($H11&gt;=0, 0,
                IF(OR($C11="Saturday", $C11="Sunday"), 0, 0)
            )
        )
    )),
"Write in the next field")</f>
        <v>0.30833333333333335</v>
      </c>
      <c r="H11" s="16">
        <v>0</v>
      </c>
      <c r="I11" s="16">
        <v>0</v>
      </c>
      <c r="J11" s="16">
        <v>0</v>
      </c>
      <c r="K11" s="63" t="str">
        <f>IF(F11="N","0:00",IF(
OR(
AND(Masterdata!$B$4&lt;&gt;DATE(1900,1,0),Masterdata!$B$4&lt;$E11),
AND(Masterdata!$B$3&lt;&gt;DATE(1900,1,0),Masterdata!$B$3&gt;$E11)
),
"0:00",
IF(
$H11&gt;TIME(0,0,0),
IF(
OR($C11="Saturday",$C11="Sunday"),
TEXT($H11,"[tt]:mm"),
IF($H11-$V$8&gt;=0,TEXT($H11-$V$8,"[tt]:mm"),"-"&amp;TEXT(ABS($H11-$V$8),"[tt]:mm"))
),
IF(
OR($C11="Saturday",$C11="Sunday"),
IF($J11-$I11&gt;=0,TEXT($J11-$I11,"[tt]:mm"),"-"&amp;TEXT(ABS($J11-$I11),"[tt]:mm")),
IFERROR(
IF($G11-$V$8=0,
IF($G11-$V$8&gt;=0,TEXT($G11-$V$8,"[tt]:mm"),"-"&amp;TEXT(ABS($G11-$V$8),"[tt]:mm")),
IF($J11-$I11&gt;=0,TEXT($J11-$I11,"[tt]:mm"),"-"&amp;TEXT(ABS($J11-$I11),"[tt]:mm"))
),
IF(
$J11-$I11-$V$8&gt;=0,
TEXT($J11-$I11-$V$8,"[tt]:mm"),
"-"&amp;TEXT(ABS($J11-$I11-$V$8),"[tt]:mm")
)
)
)
)
))</f>
        <v>0:00</v>
      </c>
      <c r="L11" s="54" t="str">
        <f t="shared" si="3"/>
        <v>0</v>
      </c>
      <c r="M11" s="58" t="str">
        <f t="shared" si="4"/>
        <v>0:</v>
      </c>
      <c r="N11" s="51" t="str">
        <f t="shared" si="5"/>
        <v>0</v>
      </c>
      <c r="O11" s="57">
        <f t="shared" si="6"/>
        <v>0</v>
      </c>
      <c r="P11" s="6">
        <f t="shared" si="7"/>
        <v>0</v>
      </c>
      <c r="Q11" s="69"/>
      <c r="V11" s="6"/>
    </row>
    <row r="12" spans="1:24" ht="15.75" x14ac:dyDescent="0.25">
      <c r="A12" s="12">
        <f t="shared" si="1"/>
        <v>36</v>
      </c>
      <c r="B12" s="13">
        <f t="shared" si="8"/>
        <v>45541</v>
      </c>
      <c r="C12" s="14" t="str" cm="1">
        <f t="array" ref="C12">_xlfn.SWITCH(WEEKDAY($D12, 2), 1, "Monday", 2, "Tuesday", 3, "Wednesday", 4, "Thursday", 5, "Friday", 6, "Saturday", 7, "Sunday")</f>
        <v>Friday</v>
      </c>
      <c r="D12">
        <f t="shared" si="0"/>
        <v>6</v>
      </c>
      <c r="E12" s="42">
        <f t="shared" si="2"/>
        <v>45541</v>
      </c>
      <c r="F12" s="15" t="s">
        <v>21</v>
      </c>
      <c r="G12" s="17">
        <f>IFERROR(
    IF($F12="N", $V$8,
        IF(OR(
            AND(Masterdata!$B$4&lt;&gt;DATE(1900,1,0), Masterdata!$B$4&lt;$E12),
            AND(Masterdata!$B$3&lt;&gt;DATE(1900,1,0), Masterdata!$B$3&gt;$E12)
        ),
        IF($H12&gt;=TIME(0,0,0), "Write in the next field", 0),
        IF($H12&gt;=TIME(0,0,0), "Write in the next field",
            IF($H12&gt;=0, 0,
                IF(OR($C12="Saturday", $C12="Sunday"), 0, 0)
            )
        )
    )),
"Write in the next field")</f>
        <v>0.30833333333333335</v>
      </c>
      <c r="H12" s="16">
        <v>0</v>
      </c>
      <c r="I12" s="16">
        <v>0</v>
      </c>
      <c r="J12" s="16">
        <v>0</v>
      </c>
      <c r="K12" s="63" t="str">
        <f>IF(F12="N","0:00",IF(
OR(
AND(Masterdata!$B$4&lt;&gt;DATE(1900,1,0),Masterdata!$B$4&lt;$E12),
AND(Masterdata!$B$3&lt;&gt;DATE(1900,1,0),Masterdata!$B$3&gt;$E12)
),
"0:00",
IF(
$H12&gt;TIME(0,0,0),
IF(
OR($C12="Saturday",$C12="Sunday"),
TEXT($H12,"[tt]:mm"),
IF($H12-$V$8&gt;=0,TEXT($H12-$V$8,"[tt]:mm"),"-"&amp;TEXT(ABS($H12-$V$8),"[tt]:mm"))
),
IF(
OR($C12="Saturday",$C12="Sunday"),
IF($J12-$I12&gt;=0,TEXT($J12-$I12,"[tt]:mm"),"-"&amp;TEXT(ABS($J12-$I12),"[tt]:mm")),
IFERROR(
IF($G12-$V$8=0,
IF($G12-$V$8&gt;=0,TEXT($G12-$V$8,"[tt]:mm"),"-"&amp;TEXT(ABS($G12-$V$8),"[tt]:mm")),
IF($J12-$I12&gt;=0,TEXT($J12-$I12,"[tt]:mm"),"-"&amp;TEXT(ABS($J12-$I12),"[tt]:mm"))
),
IF(
$J12-$I12-$V$8&gt;=0,
TEXT($J12-$I12-$V$8,"[tt]:mm"),
"-"&amp;TEXT(ABS($J12-$I12-$V$8),"[tt]:mm")
)
)
)
)
))</f>
        <v>0:00</v>
      </c>
      <c r="L12" s="54" t="str">
        <f t="shared" si="3"/>
        <v>0</v>
      </c>
      <c r="M12" s="58" t="str">
        <f t="shared" si="4"/>
        <v>0:</v>
      </c>
      <c r="N12" s="51" t="str">
        <f t="shared" si="5"/>
        <v>0</v>
      </c>
      <c r="O12" s="57">
        <f t="shared" si="6"/>
        <v>0</v>
      </c>
      <c r="P12" s="6">
        <f t="shared" si="7"/>
        <v>0</v>
      </c>
      <c r="Q12" s="69"/>
      <c r="V12" s="38"/>
    </row>
    <row r="13" spans="1:24" ht="15.75" x14ac:dyDescent="0.25">
      <c r="A13" s="12">
        <f t="shared" si="1"/>
        <v>36</v>
      </c>
      <c r="B13" s="13">
        <f t="shared" si="8"/>
        <v>45542</v>
      </c>
      <c r="C13" s="14" t="str" cm="1">
        <f t="array" ref="C13">_xlfn.SWITCH(WEEKDAY($D13, 2), 1, "Monday", 2, "Tuesday", 3, "Wednesday", 4, "Thursday", 5, "Friday", 6, "Saturday", 7, "Sunday")</f>
        <v>Saturday</v>
      </c>
      <c r="D13">
        <f t="shared" si="0"/>
        <v>7</v>
      </c>
      <c r="E13" s="42">
        <f t="shared" si="2"/>
        <v>45542</v>
      </c>
      <c r="F13" s="15" t="s">
        <v>21</v>
      </c>
      <c r="G13" s="17">
        <f>IF($F13="N",0,"Write in the next field")</f>
        <v>0</v>
      </c>
      <c r="H13" s="16">
        <v>0</v>
      </c>
      <c r="I13" s="16">
        <v>0</v>
      </c>
      <c r="J13" s="16">
        <v>0</v>
      </c>
      <c r="K13" s="63" t="str">
        <f>IF(F13="N","0:00",IF(
OR(
AND(Masterdata!$B$4&lt;&gt;DATE(1900,1,0),Masterdata!$B$4&lt;$E13),
AND(Masterdata!$B$3&lt;&gt;DATE(1900,1,0),Masterdata!$B$3&gt;$E13)
),
"0:00",
IF(
$H13&gt;TIME(0,0,0),
IF(
OR($C13="Saturday",$C13="Sunday"),
TEXT($H13,"[tt]:mm"),
IF($H13-$V$8&gt;=0,TEXT($H13-$V$8,"[tt]:mm"),"-"&amp;TEXT(ABS($H13-$V$8),"[tt]:mm"))
),
IF(
OR($C13="Saturday",$C13="Sunday"),
IF($J13-$I13&gt;=0,TEXT($J13-$I13,"[tt]:mm"),"-"&amp;TEXT(ABS($J13-$I13),"[tt]:mm")),
IFERROR(
IF($G13-$V$8=0,
IF($G13-$V$8&gt;=0,TEXT($G13-$V$8,"[tt]:mm"),"-"&amp;TEXT(ABS($G13-$V$8),"[tt]:mm")),
IF($J13-$I13&gt;=0,TEXT($J13-$I13,"[tt]:mm"),"-"&amp;TEXT(ABS($J13-$I13),"[tt]:mm"))
),
IF(
$J13-$I13-$V$8&gt;=0,
TEXT($J13-$I13-$V$8,"[tt]:mm"),
"-"&amp;TEXT(ABS($J13-$I13-$V$8),"[tt]:mm")
)
)
)
)
))</f>
        <v>0:00</v>
      </c>
      <c r="L13" s="54" t="str">
        <f t="shared" si="3"/>
        <v>0</v>
      </c>
      <c r="M13" s="58" t="str">
        <f t="shared" si="4"/>
        <v>0:</v>
      </c>
      <c r="N13" s="51" t="str">
        <f t="shared" si="5"/>
        <v>0</v>
      </c>
      <c r="O13" s="57">
        <f t="shared" si="6"/>
        <v>0</v>
      </c>
      <c r="P13" s="6">
        <f t="shared" si="7"/>
        <v>0</v>
      </c>
      <c r="Q13" s="69"/>
    </row>
    <row r="14" spans="1:24" ht="15.75" x14ac:dyDescent="0.25">
      <c r="A14" s="12">
        <f t="shared" si="1"/>
        <v>36</v>
      </c>
      <c r="B14" s="13">
        <f t="shared" si="8"/>
        <v>45543</v>
      </c>
      <c r="C14" s="14" t="str" cm="1">
        <f t="array" ref="C14">_xlfn.SWITCH(WEEKDAY($D14, 2), 1, "Monday", 2, "Tuesday", 3, "Wednesday", 4, "Thursday", 5, "Friday", 6, "Saturday", 7, "Sunday")</f>
        <v>Sunday</v>
      </c>
      <c r="D14">
        <f t="shared" si="0"/>
        <v>8</v>
      </c>
      <c r="E14" s="42">
        <f t="shared" si="2"/>
        <v>45543</v>
      </c>
      <c r="F14" s="15" t="s">
        <v>21</v>
      </c>
      <c r="G14" s="17">
        <f>IF($F14="N",0,"Write in the next field")</f>
        <v>0</v>
      </c>
      <c r="H14" s="16">
        <v>0</v>
      </c>
      <c r="I14" s="16">
        <v>0</v>
      </c>
      <c r="J14" s="16">
        <v>0</v>
      </c>
      <c r="K14" s="63" t="str">
        <f>IF(F14="N","0:00",IF(
OR(
AND(Masterdata!$B$4&lt;&gt;DATE(1900,1,0),Masterdata!$B$4&lt;$E14),
AND(Masterdata!$B$3&lt;&gt;DATE(1900,1,0),Masterdata!$B$3&gt;$E14)
),
"0:00",
IF(
$H14&gt;TIME(0,0,0),
IF(
OR($C14="Saturday",$C14="Sunday"),
TEXT($H14,"[tt]:mm"),
IF($H14-$V$8&gt;=0,TEXT($H14-$V$8,"[tt]:mm"),"-"&amp;TEXT(ABS($H14-$V$8),"[tt]:mm"))
),
IF(
OR($C14="Saturday",$C14="Sunday"),
IF($J14-$I14&gt;=0,TEXT($J14-$I14,"[tt]:mm"),"-"&amp;TEXT(ABS($J14-$I14),"[tt]:mm")),
IFERROR(
IF($G14-$V$8=0,
IF($G14-$V$8&gt;=0,TEXT($G14-$V$8,"[tt]:mm"),"-"&amp;TEXT(ABS($G14-$V$8),"[tt]:mm")),
IF($J14-$I14&gt;=0,TEXT($J14-$I14,"[tt]:mm"),"-"&amp;TEXT(ABS($J14-$I14),"[tt]:mm"))
),
IF(
$J14-$I14-$V$8&gt;=0,
TEXT($J14-$I14-$V$8,"[tt]:mm"),
"-"&amp;TEXT(ABS($J14-$I14-$V$8),"[tt]:mm")
)
)
)
)
))</f>
        <v>0:00</v>
      </c>
      <c r="L14" s="54" t="str">
        <f t="shared" si="3"/>
        <v>0</v>
      </c>
      <c r="M14" s="58" t="str">
        <f t="shared" si="4"/>
        <v>0:</v>
      </c>
      <c r="N14" s="51" t="str">
        <f t="shared" si="5"/>
        <v>0</v>
      </c>
      <c r="O14" s="57">
        <f t="shared" si="6"/>
        <v>0</v>
      </c>
      <c r="P14" s="6">
        <f t="shared" si="7"/>
        <v>0</v>
      </c>
      <c r="Q14" s="69"/>
      <c r="S14" t="s">
        <v>46</v>
      </c>
      <c r="T14" t="s">
        <v>47</v>
      </c>
      <c r="U14" t="s">
        <v>48</v>
      </c>
      <c r="V14" s="6">
        <f>V9-V12</f>
        <v>160.33000000000001</v>
      </c>
    </row>
    <row r="15" spans="1:24" ht="15.75" x14ac:dyDescent="0.25">
      <c r="A15" s="12">
        <f t="shared" si="1"/>
        <v>37</v>
      </c>
      <c r="B15" s="13">
        <f t="shared" si="8"/>
        <v>45544</v>
      </c>
      <c r="C15" s="14" t="str" cm="1">
        <f t="array" ref="C15">_xlfn.SWITCH(WEEKDAY($D15, 2), 1, "Monday", 2, "Tuesday", 3, "Wednesday", 4, "Thursday", 5, "Friday", 6, "Saturday", 7, "Sunday")</f>
        <v>Monday</v>
      </c>
      <c r="D15">
        <f t="shared" si="0"/>
        <v>2</v>
      </c>
      <c r="E15" s="42">
        <f t="shared" si="2"/>
        <v>45544</v>
      </c>
      <c r="F15" s="15" t="s">
        <v>21</v>
      </c>
      <c r="G15" s="17">
        <f>IFERROR(
    IF($F15="N", $V$8,
        IF(OR(
            AND(Masterdata!$B$4&lt;&gt;DATE(1900,1,0), Masterdata!$B$4&lt;$E15),
            AND(Masterdata!$B$3&lt;&gt;DATE(1900,1,0), Masterdata!$B$3&gt;$E15)
        ),
        IF($H15&gt;=TIME(0,0,0), "Write in the next field", 0),
        IF($H15&gt;=TIME(0,0,0), "Write in the next field",
            IF($H15&gt;=0, 0,
                IF(OR($C15="Saturday", $C15="Sunday"), 0, 0)
            )
        )
    )),
"Write in the next field")</f>
        <v>0.30833333333333335</v>
      </c>
      <c r="H15" s="16">
        <v>0</v>
      </c>
      <c r="I15" s="16">
        <v>0</v>
      </c>
      <c r="J15" s="16">
        <v>0</v>
      </c>
      <c r="K15" s="63" t="str">
        <f>IF(F15="N","0:00",IF(
OR(
AND(Masterdata!$B$4&lt;&gt;DATE(1900,1,0),Masterdata!$B$4&lt;$E15),
AND(Masterdata!$B$3&lt;&gt;DATE(1900,1,0),Masterdata!$B$3&gt;$E15)
),
"0:00",
IF(
$H15&gt;TIME(0,0,0),
IF(
OR($C15="Saturday",$C15="Sunday"),
TEXT($H15,"[tt]:mm"),
IF($H15-$V$8&gt;=0,TEXT($H15-$V$8,"[tt]:mm"),"-"&amp;TEXT(ABS($H15-$V$8),"[tt]:mm"))
),
IF(
OR($C15="Saturday",$C15="Sunday"),
IF($J15-$I15&gt;=0,TEXT($J15-$I15,"[tt]:mm"),"-"&amp;TEXT(ABS($J15-$I15),"[tt]:mm")),
IFERROR(
IF($G15-$V$8=0,
IF($G15-$V$8&gt;=0,TEXT($G15-$V$8,"[tt]:mm"),"-"&amp;TEXT(ABS($G15-$V$8),"[tt]:mm")),
IF($J15-$I15&gt;=0,TEXT($J15-$I15,"[tt]:mm"),"-"&amp;TEXT(ABS($J15-$I15),"[tt]:mm"))
),
IF(
$J15-$I15-$V$8&gt;=0,
TEXT($J15-$I15-$V$8,"[tt]:mm"),
"-"&amp;TEXT(ABS($J15-$I15-$V$8),"[tt]:mm")
)
)
)
)
))</f>
        <v>0:00</v>
      </c>
      <c r="L15" s="54" t="str">
        <f t="shared" si="3"/>
        <v>0</v>
      </c>
      <c r="M15" s="58" t="str">
        <f t="shared" si="4"/>
        <v>0:</v>
      </c>
      <c r="N15" s="51" t="str">
        <f t="shared" si="5"/>
        <v>0</v>
      </c>
      <c r="O15" s="57">
        <f t="shared" si="6"/>
        <v>0</v>
      </c>
      <c r="P15" s="6">
        <f t="shared" si="7"/>
        <v>0</v>
      </c>
      <c r="Q15" s="69"/>
      <c r="S15" t="s">
        <v>49</v>
      </c>
      <c r="T15" t="s">
        <v>50</v>
      </c>
      <c r="U15" t="s">
        <v>51</v>
      </c>
      <c r="V15" s="6" t="e">
        <f>SUM(#REF!)</f>
        <v>#REF!</v>
      </c>
    </row>
    <row r="16" spans="1:24" ht="15.75" x14ac:dyDescent="0.25">
      <c r="A16" s="12">
        <f t="shared" si="1"/>
        <v>37</v>
      </c>
      <c r="B16" s="13">
        <f t="shared" si="8"/>
        <v>45545</v>
      </c>
      <c r="C16" s="14" t="str" cm="1">
        <f t="array" ref="C16">_xlfn.SWITCH(WEEKDAY($D16, 2), 1, "Monday", 2, "Tuesday", 3, "Wednesday", 4, "Thursday", 5, "Friday", 6, "Saturday", 7, "Sunday")</f>
        <v>Tuesday</v>
      </c>
      <c r="D16">
        <f t="shared" si="0"/>
        <v>3</v>
      </c>
      <c r="E16" s="42">
        <f t="shared" si="2"/>
        <v>45545</v>
      </c>
      <c r="F16" s="15" t="s">
        <v>21</v>
      </c>
      <c r="G16" s="17">
        <f>IFERROR(
    IF($F16="N", $V$8,
        IF(OR(
            AND(Masterdata!$B$4&lt;&gt;DATE(1900,1,0), Masterdata!$B$4&lt;$E16),
            AND(Masterdata!$B$3&lt;&gt;DATE(1900,1,0), Masterdata!$B$3&gt;$E16)
        ),
        IF($H16&gt;=TIME(0,0,0), "Write in the next field", 0),
        IF($H16&gt;=TIME(0,0,0), "Write in the next field",
            IF($H16&gt;=0, 0,
                IF(OR($C16="Saturday", $C16="Sunday"), 0, 0)
            )
        )
    )),
"Write in the next field")</f>
        <v>0.30833333333333335</v>
      </c>
      <c r="H16" s="16">
        <v>0</v>
      </c>
      <c r="I16" s="16">
        <v>0</v>
      </c>
      <c r="J16" s="16">
        <v>0</v>
      </c>
      <c r="K16" s="63" t="str">
        <f>IF(F16="N","0:00",IF(
OR(
AND(Masterdata!$B$4&lt;&gt;DATE(1900,1,0),Masterdata!$B$4&lt;$E16),
AND(Masterdata!$B$3&lt;&gt;DATE(1900,1,0),Masterdata!$B$3&gt;$E16)
),
"0:00",
IF(
$H16&gt;TIME(0,0,0),
IF(
OR($C16="Saturday",$C16="Sunday"),
TEXT($H16,"[tt]:mm"),
IF($H16-$V$8&gt;=0,TEXT($H16-$V$8,"[tt]:mm"),"-"&amp;TEXT(ABS($H16-$V$8),"[tt]:mm"))
),
IF(
OR($C16="Saturday",$C16="Sunday"),
IF($J16-$I16&gt;=0,TEXT($J16-$I16,"[tt]:mm"),"-"&amp;TEXT(ABS($J16-$I16),"[tt]:mm")),
IFERROR(
IF($G16-$V$8=0,
IF($G16-$V$8&gt;=0,TEXT($G16-$V$8,"[tt]:mm"),"-"&amp;TEXT(ABS($G16-$V$8),"[tt]:mm")),
IF($J16-$I16&gt;=0,TEXT($J16-$I16,"[tt]:mm"),"-"&amp;TEXT(ABS($J16-$I16),"[tt]:mm"))
),
IF(
$J16-$I16-$V$8&gt;=0,
TEXT($J16-$I16-$V$8,"[tt]:mm"),
"-"&amp;TEXT(ABS($J16-$I16-$V$8),"[tt]:mm")
)
)
)
)
))</f>
        <v>0:00</v>
      </c>
      <c r="L16" s="54" t="str">
        <f t="shared" si="3"/>
        <v>0</v>
      </c>
      <c r="M16" s="58" t="str">
        <f t="shared" si="4"/>
        <v>0:</v>
      </c>
      <c r="N16" s="51" t="str">
        <f t="shared" si="5"/>
        <v>0</v>
      </c>
      <c r="O16" s="57">
        <f t="shared" si="6"/>
        <v>0</v>
      </c>
      <c r="P16" s="6">
        <f t="shared" si="7"/>
        <v>0</v>
      </c>
      <c r="Q16" s="69"/>
      <c r="S16" t="s">
        <v>23</v>
      </c>
      <c r="T16" t="s">
        <v>52</v>
      </c>
      <c r="U16" t="s">
        <v>53</v>
      </c>
      <c r="V16" s="6" t="e">
        <f>V14-V15</f>
        <v>#REF!</v>
      </c>
    </row>
    <row r="17" spans="1:21" ht="15.75" x14ac:dyDescent="0.25">
      <c r="A17" s="12">
        <f t="shared" si="1"/>
        <v>37</v>
      </c>
      <c r="B17" s="13">
        <f t="shared" si="8"/>
        <v>45546</v>
      </c>
      <c r="C17" s="14" t="str" cm="1">
        <f t="array" ref="C17">_xlfn.SWITCH(WEEKDAY($D17, 2), 1, "Monday", 2, "Tuesday", 3, "Wednesday", 4, "Thursday", 5, "Friday", 6, "Saturday", 7, "Sunday")</f>
        <v>Wednesday</v>
      </c>
      <c r="D17">
        <f t="shared" si="0"/>
        <v>4</v>
      </c>
      <c r="E17" s="42">
        <f t="shared" si="2"/>
        <v>45546</v>
      </c>
      <c r="F17" s="15" t="s">
        <v>21</v>
      </c>
      <c r="G17" s="17">
        <f>IFERROR(
    IF($F17="N", $V$8,
        IF(OR(
            AND(Masterdata!$B$4&lt;&gt;DATE(1900,1,0), Masterdata!$B$4&lt;$E17),
            AND(Masterdata!$B$3&lt;&gt;DATE(1900,1,0), Masterdata!$B$3&gt;$E17)
        ),
        IF($H17&gt;=TIME(0,0,0), "Write in the next field", 0),
        IF($H17&gt;=TIME(0,0,0), "Write in the next field",
            IF($H17&gt;=0, 0,
                IF(OR($C17="Saturday", $C17="Sunday"), 0, 0)
            )
        )
    )),
"Write in the next field")</f>
        <v>0.30833333333333335</v>
      </c>
      <c r="H17" s="16">
        <v>0</v>
      </c>
      <c r="I17" s="16">
        <v>0</v>
      </c>
      <c r="J17" s="16">
        <v>0</v>
      </c>
      <c r="K17" s="63" t="str">
        <f>IF(F17="N","0:00",IF(
OR(
AND(Masterdata!$B$4&lt;&gt;DATE(1900,1,0),Masterdata!$B$4&lt;$E17),
AND(Masterdata!$B$3&lt;&gt;DATE(1900,1,0),Masterdata!$B$3&gt;$E17)
),
"0:00",
IF(
$H17&gt;TIME(0,0,0),
IF(
OR($C17="Saturday",$C17="Sunday"),
TEXT($H17,"[tt]:mm"),
IF($H17-$V$8&gt;=0,TEXT($H17-$V$8,"[tt]:mm"),"-"&amp;TEXT(ABS($H17-$V$8),"[tt]:mm"))
),
IF(
OR($C17="Saturday",$C17="Sunday"),
IF($J17-$I17&gt;=0,TEXT($J17-$I17,"[tt]:mm"),"-"&amp;TEXT(ABS($J17-$I17),"[tt]:mm")),
IFERROR(
IF($G17-$V$8=0,
IF($G17-$V$8&gt;=0,TEXT($G17-$V$8,"[tt]:mm"),"-"&amp;TEXT(ABS($G17-$V$8),"[tt]:mm")),
IF($J17-$I17&gt;=0,TEXT($J17-$I17,"[tt]:mm"),"-"&amp;TEXT(ABS($J17-$I17),"[tt]:mm"))
),
IF(
$J17-$I17-$V$8&gt;=0,
TEXT($J17-$I17-$V$8,"[tt]:mm"),
"-"&amp;TEXT(ABS($J17-$I17-$V$8),"[tt]:mm")
)
)
)
)
))</f>
        <v>0:00</v>
      </c>
      <c r="L17" s="54" t="str">
        <f t="shared" si="3"/>
        <v>0</v>
      </c>
      <c r="M17" s="58" t="str">
        <f t="shared" si="4"/>
        <v>0:</v>
      </c>
      <c r="N17" s="51" t="str">
        <f t="shared" si="5"/>
        <v>0</v>
      </c>
      <c r="O17" s="57">
        <f t="shared" si="6"/>
        <v>0</v>
      </c>
      <c r="P17" s="6">
        <f t="shared" si="7"/>
        <v>0</v>
      </c>
      <c r="Q17" s="69"/>
      <c r="U17" s="42"/>
    </row>
    <row r="18" spans="1:21" ht="15.75" x14ac:dyDescent="0.25">
      <c r="A18" s="12">
        <f t="shared" si="1"/>
        <v>37</v>
      </c>
      <c r="B18" s="13">
        <f t="shared" si="8"/>
        <v>45547</v>
      </c>
      <c r="C18" s="14" t="str" cm="1">
        <f t="array" ref="C18">_xlfn.SWITCH(WEEKDAY($D18, 2), 1, "Monday", 2, "Tuesday", 3, "Wednesday", 4, "Thursday", 5, "Friday", 6, "Saturday", 7, "Sunday")</f>
        <v>Thursday</v>
      </c>
      <c r="D18">
        <f t="shared" si="0"/>
        <v>5</v>
      </c>
      <c r="E18" s="42">
        <f t="shared" si="2"/>
        <v>45547</v>
      </c>
      <c r="F18" s="15" t="s">
        <v>21</v>
      </c>
      <c r="G18" s="17">
        <f>IFERROR(
    IF($F18="N", $V$8,
        IF(OR(
            AND(Masterdata!$B$4&lt;&gt;DATE(1900,1,0), Masterdata!$B$4&lt;$E18),
            AND(Masterdata!$B$3&lt;&gt;DATE(1900,1,0), Masterdata!$B$3&gt;$E18)
        ),
        IF($H18&gt;=TIME(0,0,0), "Write in the next field", 0),
        IF($H18&gt;=TIME(0,0,0), "Write in the next field",
            IF($H18&gt;=0, 0,
                IF(OR($C18="Saturday", $C18="Sunday"), 0, 0)
            )
        )
    )),
"Write in the next field")</f>
        <v>0.30833333333333335</v>
      </c>
      <c r="H18" s="16">
        <v>0</v>
      </c>
      <c r="I18" s="16">
        <v>0</v>
      </c>
      <c r="J18" s="16">
        <v>0</v>
      </c>
      <c r="K18" s="63" t="str">
        <f>IF(F18="N","0:00",IF(
OR(
AND(Masterdata!$B$4&lt;&gt;DATE(1900,1,0),Masterdata!$B$4&lt;$E18),
AND(Masterdata!$B$3&lt;&gt;DATE(1900,1,0),Masterdata!$B$3&gt;$E18)
),
"0:00",
IF(
$H18&gt;TIME(0,0,0),
IF(
OR($C18="Saturday",$C18="Sunday"),
TEXT($H18,"[tt]:mm"),
IF($H18-$V$8&gt;=0,TEXT($H18-$V$8,"[tt]:mm"),"-"&amp;TEXT(ABS($H18-$V$8),"[tt]:mm"))
),
IF(
OR($C18="Saturday",$C18="Sunday"),
IF($J18-$I18&gt;=0,TEXT($J18-$I18,"[tt]:mm"),"-"&amp;TEXT(ABS($J18-$I18),"[tt]:mm")),
IFERROR(
IF($G18-$V$8=0,
IF($G18-$V$8&gt;=0,TEXT($G18-$V$8,"[tt]:mm"),"-"&amp;TEXT(ABS($G18-$V$8),"[tt]:mm")),
IF($J18-$I18&gt;=0,TEXT($J18-$I18,"[tt]:mm"),"-"&amp;TEXT(ABS($J18-$I18),"[tt]:mm"))
),
IF(
$J18-$I18-$V$8&gt;=0,
TEXT($J18-$I18-$V$8,"[tt]:mm"),
"-"&amp;TEXT(ABS($J18-$I18-$V$8),"[tt]:mm")
)
)
)
)
))</f>
        <v>0:00</v>
      </c>
      <c r="L18" s="54" t="str">
        <f t="shared" si="3"/>
        <v>0</v>
      </c>
      <c r="M18" s="58" t="str">
        <f t="shared" si="4"/>
        <v>0:</v>
      </c>
      <c r="N18" s="51" t="str">
        <f t="shared" si="5"/>
        <v>0</v>
      </c>
      <c r="O18" s="57">
        <f t="shared" si="6"/>
        <v>0</v>
      </c>
      <c r="P18" s="6">
        <f t="shared" si="7"/>
        <v>0</v>
      </c>
      <c r="Q18" s="69"/>
      <c r="R18" s="52"/>
    </row>
    <row r="19" spans="1:21" ht="15.75" x14ac:dyDescent="0.25">
      <c r="A19" s="12">
        <f t="shared" si="1"/>
        <v>37</v>
      </c>
      <c r="B19" s="13">
        <f t="shared" si="8"/>
        <v>45548</v>
      </c>
      <c r="C19" s="14" t="str" cm="1">
        <f t="array" ref="C19">_xlfn.SWITCH(WEEKDAY($D19, 2), 1, "Monday", 2, "Tuesday", 3, "Wednesday", 4, "Thursday", 5, "Friday", 6, "Saturday", 7, "Sunday")</f>
        <v>Friday</v>
      </c>
      <c r="D19">
        <f t="shared" si="0"/>
        <v>6</v>
      </c>
      <c r="E19" s="42">
        <f t="shared" si="2"/>
        <v>45548</v>
      </c>
      <c r="F19" s="15" t="s">
        <v>21</v>
      </c>
      <c r="G19" s="17">
        <f>IFERROR(
    IF($F19="N", $V$8,
        IF(OR(
            AND(Masterdata!$B$4&lt;&gt;DATE(1900,1,0), Masterdata!$B$4&lt;$E19),
            AND(Masterdata!$B$3&lt;&gt;DATE(1900,1,0), Masterdata!$B$3&gt;$E19)
        ),
        IF($H19&gt;=TIME(0,0,0), "Write in the next field", 0),
        IF($H19&gt;=TIME(0,0,0), "Write in the next field",
            IF($H19&gt;=0, 0,
                IF(OR($C19="Saturday", $C19="Sunday"), 0, 0)
            )
        )
    )),
"Write in the next field")</f>
        <v>0.30833333333333335</v>
      </c>
      <c r="H19" s="16">
        <v>0</v>
      </c>
      <c r="I19" s="16">
        <v>0</v>
      </c>
      <c r="J19" s="16">
        <v>0</v>
      </c>
      <c r="K19" s="63" t="str">
        <f>IF(F19="N","0:00",IF(
OR(
AND(Masterdata!$B$4&lt;&gt;DATE(1900,1,0),Masterdata!$B$4&lt;$E19),
AND(Masterdata!$B$3&lt;&gt;DATE(1900,1,0),Masterdata!$B$3&gt;$E19)
),
"0:00",
IF(
$H19&gt;TIME(0,0,0),
IF(
OR($C19="Saturday",$C19="Sunday"),
TEXT($H19,"[tt]:mm"),
IF($H19-$V$8&gt;=0,TEXT($H19-$V$8,"[tt]:mm"),"-"&amp;TEXT(ABS($H19-$V$8),"[tt]:mm"))
),
IF(
OR($C19="Saturday",$C19="Sunday"),
IF($J19-$I19&gt;=0,TEXT($J19-$I19,"[tt]:mm"),"-"&amp;TEXT(ABS($J19-$I19),"[tt]:mm")),
IFERROR(
IF($G19-$V$8=0,
IF($G19-$V$8&gt;=0,TEXT($G19-$V$8,"[tt]:mm"),"-"&amp;TEXT(ABS($G19-$V$8),"[tt]:mm")),
IF($J19-$I19&gt;=0,TEXT($J19-$I19,"[tt]:mm"),"-"&amp;TEXT(ABS($J19-$I19),"[tt]:mm"))
),
IF(
$J19-$I19-$V$8&gt;=0,
TEXT($J19-$I19-$V$8,"[tt]:mm"),
"-"&amp;TEXT(ABS($J19-$I19-$V$8),"[tt]:mm")
)
)
)
)
))</f>
        <v>0:00</v>
      </c>
      <c r="L19" s="54" t="str">
        <f t="shared" si="3"/>
        <v>0</v>
      </c>
      <c r="M19" s="58" t="str">
        <f t="shared" si="4"/>
        <v>0:</v>
      </c>
      <c r="N19" s="51" t="str">
        <f t="shared" si="5"/>
        <v>0</v>
      </c>
      <c r="O19" s="57">
        <f t="shared" si="6"/>
        <v>0</v>
      </c>
      <c r="P19" s="6">
        <f t="shared" si="7"/>
        <v>0</v>
      </c>
      <c r="Q19" s="69"/>
    </row>
    <row r="20" spans="1:21" ht="15.75" x14ac:dyDescent="0.25">
      <c r="A20" s="12">
        <f t="shared" si="1"/>
        <v>37</v>
      </c>
      <c r="B20" s="13">
        <f t="shared" si="8"/>
        <v>45549</v>
      </c>
      <c r="C20" s="14" t="str" cm="1">
        <f t="array" ref="C20">_xlfn.SWITCH(WEEKDAY($D20, 2), 1, "Monday", 2, "Tuesday", 3, "Wednesday", 4, "Thursday", 5, "Friday", 6, "Saturday", 7, "Sunday")</f>
        <v>Saturday</v>
      </c>
      <c r="D20">
        <f t="shared" si="0"/>
        <v>7</v>
      </c>
      <c r="E20" s="42">
        <f t="shared" si="2"/>
        <v>45549</v>
      </c>
      <c r="F20" s="15" t="s">
        <v>21</v>
      </c>
      <c r="G20" s="17">
        <f>IF($F20="N",0,"Write in the next field")</f>
        <v>0</v>
      </c>
      <c r="H20" s="16">
        <v>0</v>
      </c>
      <c r="I20" s="16">
        <v>0</v>
      </c>
      <c r="J20" s="16">
        <v>0</v>
      </c>
      <c r="K20" s="63" t="str">
        <f>IF(F20="N","0:00",IF(
OR(
AND(Masterdata!$B$4&lt;&gt;DATE(1900,1,0),Masterdata!$B$4&lt;$E20),
AND(Masterdata!$B$3&lt;&gt;DATE(1900,1,0),Masterdata!$B$3&gt;$E20)
),
"0:00",
IF(
$H20&gt;TIME(0,0,0),
IF(
OR($C20="Saturday",$C20="Sunday"),
TEXT($H20,"[tt]:mm"),
IF($H20-$V$8&gt;=0,TEXT($H20-$V$8,"[tt]:mm"),"-"&amp;TEXT(ABS($H20-$V$8),"[tt]:mm"))
),
IF(
OR($C20="Saturday",$C20="Sunday"),
IF($J20-$I20&gt;=0,TEXT($J20-$I20,"[tt]:mm"),"-"&amp;TEXT(ABS($J20-$I20),"[tt]:mm")),
IFERROR(
IF($G20-$V$8=0,
IF($G20-$V$8&gt;=0,TEXT($G20-$V$8,"[tt]:mm"),"-"&amp;TEXT(ABS($G20-$V$8),"[tt]:mm")),
IF($J20-$I20&gt;=0,TEXT($J20-$I20,"[tt]:mm"),"-"&amp;TEXT(ABS($J20-$I20),"[tt]:mm"))
),
IF(
$J20-$I20-$V$8&gt;=0,
TEXT($J20-$I20-$V$8,"[tt]:mm"),
"-"&amp;TEXT(ABS($J20-$I20-$V$8),"[tt]:mm")
)
)
)
)
))</f>
        <v>0:00</v>
      </c>
      <c r="L20" s="54" t="str">
        <f t="shared" si="3"/>
        <v>0</v>
      </c>
      <c r="M20" s="58" t="str">
        <f t="shared" si="4"/>
        <v>0:</v>
      </c>
      <c r="N20" s="51" t="str">
        <f t="shared" si="5"/>
        <v>0</v>
      </c>
      <c r="O20" s="57">
        <f t="shared" si="6"/>
        <v>0</v>
      </c>
      <c r="P20" s="6">
        <f t="shared" si="7"/>
        <v>0</v>
      </c>
      <c r="Q20" s="69"/>
    </row>
    <row r="21" spans="1:21" ht="15.75" x14ac:dyDescent="0.25">
      <c r="A21" s="12">
        <f t="shared" si="1"/>
        <v>37</v>
      </c>
      <c r="B21" s="13">
        <f t="shared" si="8"/>
        <v>45550</v>
      </c>
      <c r="C21" s="14" t="str" cm="1">
        <f t="array" ref="C21">_xlfn.SWITCH(WEEKDAY($D21, 2), 1, "Monday", 2, "Tuesday", 3, "Wednesday", 4, "Thursday", 5, "Friday", 6, "Saturday", 7, "Sunday")</f>
        <v>Sunday</v>
      </c>
      <c r="D21">
        <f t="shared" si="0"/>
        <v>8</v>
      </c>
      <c r="E21" s="42">
        <f t="shared" si="2"/>
        <v>45550</v>
      </c>
      <c r="F21" s="15" t="s">
        <v>21</v>
      </c>
      <c r="G21" s="17">
        <f>IF($F21="N",0,"Write in the next field")</f>
        <v>0</v>
      </c>
      <c r="H21" s="16">
        <v>0</v>
      </c>
      <c r="I21" s="16">
        <v>0</v>
      </c>
      <c r="J21" s="16">
        <v>0</v>
      </c>
      <c r="K21" s="63" t="str">
        <f>IF(F21="N","0:00",IF(
OR(
AND(Masterdata!$B$4&lt;&gt;DATE(1900,1,0),Masterdata!$B$4&lt;$E21),
AND(Masterdata!$B$3&lt;&gt;DATE(1900,1,0),Masterdata!$B$3&gt;$E21)
),
"0:00",
IF(
$H21&gt;TIME(0,0,0),
IF(
OR($C21="Saturday",$C21="Sunday"),
TEXT($H21,"[tt]:mm"),
IF($H21-$V$8&gt;=0,TEXT($H21-$V$8,"[tt]:mm"),"-"&amp;TEXT(ABS($H21-$V$8),"[tt]:mm"))
),
IF(
OR($C21="Saturday",$C21="Sunday"),
IF($J21-$I21&gt;=0,TEXT($J21-$I21,"[tt]:mm"),"-"&amp;TEXT(ABS($J21-$I21),"[tt]:mm")),
IFERROR(
IF($G21-$V$8=0,
IF($G21-$V$8&gt;=0,TEXT($G21-$V$8,"[tt]:mm"),"-"&amp;TEXT(ABS($G21-$V$8),"[tt]:mm")),
IF($J21-$I21&gt;=0,TEXT($J21-$I21,"[tt]:mm"),"-"&amp;TEXT(ABS($J21-$I21),"[tt]:mm"))
),
IF(
$J21-$I21-$V$8&gt;=0,
TEXT($J21-$I21-$V$8,"[tt]:mm"),
"-"&amp;TEXT(ABS($J21-$I21-$V$8),"[tt]:mm")
)
)
)
)
))</f>
        <v>0:00</v>
      </c>
      <c r="L21" s="54" t="str">
        <f t="shared" si="3"/>
        <v>0</v>
      </c>
      <c r="M21" s="58" t="str">
        <f t="shared" si="4"/>
        <v>0:</v>
      </c>
      <c r="N21" s="51" t="str">
        <f t="shared" si="5"/>
        <v>0</v>
      </c>
      <c r="O21" s="57">
        <f t="shared" si="6"/>
        <v>0</v>
      </c>
      <c r="P21" s="6">
        <f t="shared" si="7"/>
        <v>0</v>
      </c>
      <c r="Q21" s="69"/>
    </row>
    <row r="22" spans="1:21" ht="15.75" x14ac:dyDescent="0.25">
      <c r="A22" s="12">
        <f t="shared" si="1"/>
        <v>38</v>
      </c>
      <c r="B22" s="13">
        <f t="shared" si="8"/>
        <v>45551</v>
      </c>
      <c r="C22" s="14" t="str" cm="1">
        <f t="array" ref="C22">_xlfn.SWITCH(WEEKDAY($D22, 2), 1, "Monday", 2, "Tuesday", 3, "Wednesday", 4, "Thursday", 5, "Friday", 6, "Saturday", 7, "Sunday")</f>
        <v>Monday</v>
      </c>
      <c r="D22">
        <f t="shared" si="0"/>
        <v>2</v>
      </c>
      <c r="E22" s="42">
        <f t="shared" si="2"/>
        <v>45551</v>
      </c>
      <c r="F22" s="15" t="s">
        <v>21</v>
      </c>
      <c r="G22" s="17">
        <f>IFERROR(
    IF($F22="N", $V$8,
        IF(OR(
            AND(Masterdata!$B$4&lt;&gt;DATE(1900,1,0), Masterdata!$B$4&lt;$E22),
            AND(Masterdata!$B$3&lt;&gt;DATE(1900,1,0), Masterdata!$B$3&gt;$E22)
        ),
        IF($H22&gt;=TIME(0,0,0), "Write in the next field", 0),
        IF($H22&gt;=TIME(0,0,0), "Write in the next field",
            IF($H22&gt;=0, 0,
                IF(OR($C22="Saturday", $C22="Sunday"), 0, 0)
            )
        )
    )),
"Write in the next field")</f>
        <v>0.30833333333333335</v>
      </c>
      <c r="H22" s="16">
        <v>0</v>
      </c>
      <c r="I22" s="16">
        <v>0</v>
      </c>
      <c r="J22" s="16">
        <v>0</v>
      </c>
      <c r="K22" s="63" t="str">
        <f>IF(F22="N","0:00",IF(
OR(
AND(Masterdata!$B$4&lt;&gt;DATE(1900,1,0),Masterdata!$B$4&lt;$E22),
AND(Masterdata!$B$3&lt;&gt;DATE(1900,1,0),Masterdata!$B$3&gt;$E22)
),
"0:00",
IF(
$H22&gt;TIME(0,0,0),
IF(
OR($C22="Saturday",$C22="Sunday"),
TEXT($H22,"[tt]:mm"),
IF($H22-$V$8&gt;=0,TEXT($H22-$V$8,"[tt]:mm"),"-"&amp;TEXT(ABS($H22-$V$8),"[tt]:mm"))
),
IF(
OR($C22="Saturday",$C22="Sunday"),
IF($J22-$I22&gt;=0,TEXT($J22-$I22,"[tt]:mm"),"-"&amp;TEXT(ABS($J22-$I22),"[tt]:mm")),
IFERROR(
IF($G22-$V$8=0,
IF($G22-$V$8&gt;=0,TEXT($G22-$V$8,"[tt]:mm"),"-"&amp;TEXT(ABS($G22-$V$8),"[tt]:mm")),
IF($J22-$I22&gt;=0,TEXT($J22-$I22,"[tt]:mm"),"-"&amp;TEXT(ABS($J22-$I22),"[tt]:mm"))
),
IF(
$J22-$I22-$V$8&gt;=0,
TEXT($J22-$I22-$V$8,"[tt]:mm"),
"-"&amp;TEXT(ABS($J22-$I22-$V$8),"[tt]:mm")
)
)
)
)
))</f>
        <v>0:00</v>
      </c>
      <c r="L22" s="54" t="str">
        <f t="shared" si="3"/>
        <v>0</v>
      </c>
      <c r="M22" s="58" t="str">
        <f t="shared" si="4"/>
        <v>0:</v>
      </c>
      <c r="N22" s="51" t="str">
        <f t="shared" si="5"/>
        <v>0</v>
      </c>
      <c r="O22" s="57">
        <f t="shared" si="6"/>
        <v>0</v>
      </c>
      <c r="P22" s="6">
        <f t="shared" si="7"/>
        <v>0</v>
      </c>
      <c r="Q22" s="69"/>
    </row>
    <row r="23" spans="1:21" ht="15.75" x14ac:dyDescent="0.25">
      <c r="A23" s="12">
        <f t="shared" si="1"/>
        <v>38</v>
      </c>
      <c r="B23" s="13">
        <f t="shared" si="8"/>
        <v>45552</v>
      </c>
      <c r="C23" s="14" t="str" cm="1">
        <f t="array" ref="C23">_xlfn.SWITCH(WEEKDAY($D23, 2), 1, "Monday", 2, "Tuesday", 3, "Wednesday", 4, "Thursday", 5, "Friday", 6, "Saturday", 7, "Sunday")</f>
        <v>Tuesday</v>
      </c>
      <c r="D23">
        <f t="shared" si="0"/>
        <v>3</v>
      </c>
      <c r="E23" s="42">
        <f t="shared" si="2"/>
        <v>45552</v>
      </c>
      <c r="F23" s="15" t="s">
        <v>21</v>
      </c>
      <c r="G23" s="17">
        <f>IFERROR(
    IF($F23="N", $V$8,
        IF(OR(
            AND(Masterdata!$B$4&lt;&gt;DATE(1900,1,0), Masterdata!$B$4&lt;$E23),
            AND(Masterdata!$B$3&lt;&gt;DATE(1900,1,0), Masterdata!$B$3&gt;$E23)
        ),
        IF($H23&gt;=TIME(0,0,0), "Write in the next field", 0),
        IF($H23&gt;=TIME(0,0,0), "Write in the next field",
            IF($H23&gt;=0, 0,
                IF(OR($C23="Saturday", $C23="Sunday"), 0, 0)
            )
        )
    )),
"Write in the next field")</f>
        <v>0.30833333333333335</v>
      </c>
      <c r="H23" s="16">
        <v>0</v>
      </c>
      <c r="I23" s="16">
        <v>0</v>
      </c>
      <c r="J23" s="16">
        <v>0</v>
      </c>
      <c r="K23" s="63" t="str">
        <f>IF(F23="N","0:00",IF(
OR(
AND(Masterdata!$B$4&lt;&gt;DATE(1900,1,0),Masterdata!$B$4&lt;$E23),
AND(Masterdata!$B$3&lt;&gt;DATE(1900,1,0),Masterdata!$B$3&gt;$E23)
),
"0:00",
IF(
$H23&gt;TIME(0,0,0),
IF(
OR($C23="Saturday",$C23="Sunday"),
TEXT($H23,"[tt]:mm"),
IF($H23-$V$8&gt;=0,TEXT($H23-$V$8,"[tt]:mm"),"-"&amp;TEXT(ABS($H23-$V$8),"[tt]:mm"))
),
IF(
OR($C23="Saturday",$C23="Sunday"),
IF($J23-$I23&gt;=0,TEXT($J23-$I23,"[tt]:mm"),"-"&amp;TEXT(ABS($J23-$I23),"[tt]:mm")),
IFERROR(
IF($G23-$V$8=0,
IF($G23-$V$8&gt;=0,TEXT($G23-$V$8,"[tt]:mm"),"-"&amp;TEXT(ABS($G23-$V$8),"[tt]:mm")),
IF($J23-$I23&gt;=0,TEXT($J23-$I23,"[tt]:mm"),"-"&amp;TEXT(ABS($J23-$I23),"[tt]:mm"))
),
IF(
$J23-$I23-$V$8&gt;=0,
TEXT($J23-$I23-$V$8,"[tt]:mm"),
"-"&amp;TEXT(ABS($J23-$I23-$V$8),"[tt]:mm")
)
)
)
)
))</f>
        <v>0:00</v>
      </c>
      <c r="L23" s="54" t="str">
        <f t="shared" si="3"/>
        <v>0</v>
      </c>
      <c r="M23" s="58" t="str">
        <f t="shared" si="4"/>
        <v>0:</v>
      </c>
      <c r="N23" s="51" t="str">
        <f t="shared" si="5"/>
        <v>0</v>
      </c>
      <c r="O23" s="57">
        <f t="shared" si="6"/>
        <v>0</v>
      </c>
      <c r="P23" s="6">
        <f t="shared" si="7"/>
        <v>0</v>
      </c>
      <c r="Q23" s="69"/>
    </row>
    <row r="24" spans="1:21" ht="15.75" x14ac:dyDescent="0.25">
      <c r="A24" s="12">
        <f t="shared" si="1"/>
        <v>38</v>
      </c>
      <c r="B24" s="13">
        <f t="shared" si="8"/>
        <v>45553</v>
      </c>
      <c r="C24" s="14" t="str" cm="1">
        <f t="array" ref="C24">_xlfn.SWITCH(WEEKDAY($D24, 2), 1, "Monday", 2, "Tuesday", 3, "Wednesday", 4, "Thursday", 5, "Friday", 6, "Saturday", 7, "Sunday")</f>
        <v>Wednesday</v>
      </c>
      <c r="D24">
        <f t="shared" si="0"/>
        <v>4</v>
      </c>
      <c r="E24" s="42">
        <f t="shared" si="2"/>
        <v>45553</v>
      </c>
      <c r="F24" s="15" t="s">
        <v>21</v>
      </c>
      <c r="G24" s="17">
        <f>IFERROR(
    IF($F24="N", $V$8,
        IF(OR(
            AND(Masterdata!$B$4&lt;&gt;DATE(1900,1,0), Masterdata!$B$4&lt;$E24),
            AND(Masterdata!$B$3&lt;&gt;DATE(1900,1,0), Masterdata!$B$3&gt;$E24)
        ),
        IF($H24&gt;=TIME(0,0,0), "Write in the next field", 0),
        IF($H24&gt;=TIME(0,0,0), "Write in the next field",
            IF($H24&gt;=0, 0,
                IF(OR($C24="Saturday", $C24="Sunday"), 0, 0)
            )
        )
    )),
"Write in the next field")</f>
        <v>0.30833333333333335</v>
      </c>
      <c r="H24" s="16">
        <v>0</v>
      </c>
      <c r="I24" s="16">
        <v>0</v>
      </c>
      <c r="J24" s="16">
        <v>0</v>
      </c>
      <c r="K24" s="63" t="str">
        <f>IF(F24="N","0:00",IF(
OR(
AND(Masterdata!$B$4&lt;&gt;DATE(1900,1,0),Masterdata!$B$4&lt;$E24),
AND(Masterdata!$B$3&lt;&gt;DATE(1900,1,0),Masterdata!$B$3&gt;$E24)
),
"0:00",
IF(
$H24&gt;TIME(0,0,0),
IF(
OR($C24="Saturday",$C24="Sunday"),
TEXT($H24,"[tt]:mm"),
IF($H24-$V$8&gt;=0,TEXT($H24-$V$8,"[tt]:mm"),"-"&amp;TEXT(ABS($H24-$V$8),"[tt]:mm"))
),
IF(
OR($C24="Saturday",$C24="Sunday"),
IF($J24-$I24&gt;=0,TEXT($J24-$I24,"[tt]:mm"),"-"&amp;TEXT(ABS($J24-$I24),"[tt]:mm")),
IFERROR(
IF($G24-$V$8=0,
IF($G24-$V$8&gt;=0,TEXT($G24-$V$8,"[tt]:mm"),"-"&amp;TEXT(ABS($G24-$V$8),"[tt]:mm")),
IF($J24-$I24&gt;=0,TEXT($J24-$I24,"[tt]:mm"),"-"&amp;TEXT(ABS($J24-$I24),"[tt]:mm"))
),
IF(
$J24-$I24-$V$8&gt;=0,
TEXT($J24-$I24-$V$8,"[tt]:mm"),
"-"&amp;TEXT(ABS($J24-$I24-$V$8),"[tt]:mm")
)
)
)
)
))</f>
        <v>0:00</v>
      </c>
      <c r="L24" s="54" t="str">
        <f t="shared" si="3"/>
        <v>0</v>
      </c>
      <c r="M24" s="58" t="str">
        <f t="shared" si="4"/>
        <v>0:</v>
      </c>
      <c r="N24" s="51" t="str">
        <f t="shared" si="5"/>
        <v>0</v>
      </c>
      <c r="O24" s="57">
        <f t="shared" si="6"/>
        <v>0</v>
      </c>
      <c r="P24" s="6">
        <f t="shared" si="7"/>
        <v>0</v>
      </c>
      <c r="Q24" s="69"/>
    </row>
    <row r="25" spans="1:21" ht="15.75" x14ac:dyDescent="0.25">
      <c r="A25" s="12">
        <f t="shared" si="1"/>
        <v>38</v>
      </c>
      <c r="B25" s="13">
        <f t="shared" si="8"/>
        <v>45554</v>
      </c>
      <c r="C25" s="14" t="str" cm="1">
        <f t="array" ref="C25">_xlfn.SWITCH(WEEKDAY($D25, 2), 1, "Monday", 2, "Tuesday", 3, "Wednesday", 4, "Thursday", 5, "Friday", 6, "Saturday", 7, "Sunday")</f>
        <v>Thursday</v>
      </c>
      <c r="D25">
        <f t="shared" si="0"/>
        <v>5</v>
      </c>
      <c r="E25" s="42">
        <f t="shared" si="2"/>
        <v>45554</v>
      </c>
      <c r="F25" s="15" t="s">
        <v>21</v>
      </c>
      <c r="G25" s="17">
        <f>IFERROR(
    IF($F25="N", $V$8,
        IF(OR(
            AND(Masterdata!$B$4&lt;&gt;DATE(1900,1,0), Masterdata!$B$4&lt;$E25),
            AND(Masterdata!$B$3&lt;&gt;DATE(1900,1,0), Masterdata!$B$3&gt;$E25)
        ),
        IF($H25&gt;=TIME(0,0,0), "Write in the next field", 0),
        IF($H25&gt;=TIME(0,0,0), "Write in the next field",
            IF($H25&gt;=0, 0,
                IF(OR($C25="Saturday", $C25="Sunday"), 0, 0)
            )
        )
    )),
"Write in the next field")</f>
        <v>0.30833333333333335</v>
      </c>
      <c r="H25" s="16">
        <v>0</v>
      </c>
      <c r="I25" s="16">
        <v>0</v>
      </c>
      <c r="J25" s="16">
        <v>0</v>
      </c>
      <c r="K25" s="63" t="str">
        <f>IF(F25="N","0:00",IF(
OR(
AND(Masterdata!$B$4&lt;&gt;DATE(1900,1,0),Masterdata!$B$4&lt;$E25),
AND(Masterdata!$B$3&lt;&gt;DATE(1900,1,0),Masterdata!$B$3&gt;$E25)
),
"0:00",
IF(
$H25&gt;TIME(0,0,0),
IF(
OR($C25="Saturday",$C25="Sunday"),
TEXT($H25,"[tt]:mm"),
IF($H25-$V$8&gt;=0,TEXT($H25-$V$8,"[tt]:mm"),"-"&amp;TEXT(ABS($H25-$V$8),"[tt]:mm"))
),
IF(
OR($C25="Saturday",$C25="Sunday"),
IF($J25-$I25&gt;=0,TEXT($J25-$I25,"[tt]:mm"),"-"&amp;TEXT(ABS($J25-$I25),"[tt]:mm")),
IFERROR(
IF($G25-$V$8=0,
IF($G25-$V$8&gt;=0,TEXT($G25-$V$8,"[tt]:mm"),"-"&amp;TEXT(ABS($G25-$V$8),"[tt]:mm")),
IF($J25-$I25&gt;=0,TEXT($J25-$I25,"[tt]:mm"),"-"&amp;TEXT(ABS($J25-$I25),"[tt]:mm"))
),
IF(
$J25-$I25-$V$8&gt;=0,
TEXT($J25-$I25-$V$8,"[tt]:mm"),
"-"&amp;TEXT(ABS($J25-$I25-$V$8),"[tt]:mm")
)
)
)
)
))</f>
        <v>0:00</v>
      </c>
      <c r="L25" s="54" t="str">
        <f t="shared" si="3"/>
        <v>0</v>
      </c>
      <c r="M25" s="58" t="str">
        <f t="shared" si="4"/>
        <v>0:</v>
      </c>
      <c r="N25" s="51" t="str">
        <f t="shared" si="5"/>
        <v>0</v>
      </c>
      <c r="O25" s="57">
        <f t="shared" si="6"/>
        <v>0</v>
      </c>
      <c r="P25" s="6">
        <f t="shared" si="7"/>
        <v>0</v>
      </c>
      <c r="Q25" s="69"/>
    </row>
    <row r="26" spans="1:21" ht="15.75" x14ac:dyDescent="0.25">
      <c r="A26" s="12">
        <f t="shared" si="1"/>
        <v>38</v>
      </c>
      <c r="B26" s="13">
        <f t="shared" si="8"/>
        <v>45555</v>
      </c>
      <c r="C26" s="14" t="str" cm="1">
        <f t="array" ref="C26">_xlfn.SWITCH(WEEKDAY($D26, 2), 1, "Monday", 2, "Tuesday", 3, "Wednesday", 4, "Thursday", 5, "Friday", 6, "Saturday", 7, "Sunday")</f>
        <v>Friday</v>
      </c>
      <c r="D26">
        <f t="shared" si="0"/>
        <v>6</v>
      </c>
      <c r="E26" s="42">
        <f t="shared" si="2"/>
        <v>45555</v>
      </c>
      <c r="F26" s="15" t="s">
        <v>21</v>
      </c>
      <c r="G26" s="17">
        <f>IFERROR(
    IF($F26="N", $V$8,
        IF(OR(
            AND(Masterdata!$B$4&lt;&gt;DATE(1900,1,0), Masterdata!$B$4&lt;$E26),
            AND(Masterdata!$B$3&lt;&gt;DATE(1900,1,0), Masterdata!$B$3&gt;$E26)
        ),
        IF($H26&gt;=TIME(0,0,0), "Write in the next field", 0),
        IF($H26&gt;=TIME(0,0,0), "Write in the next field",
            IF($H26&gt;=0, 0,
                IF(OR($C26="Saturday", $C26="Sunday"), 0, 0)
            )
        )
    )),
"Write in the next field")</f>
        <v>0.30833333333333335</v>
      </c>
      <c r="H26" s="16">
        <v>0</v>
      </c>
      <c r="I26" s="16">
        <v>0</v>
      </c>
      <c r="J26" s="16">
        <v>0</v>
      </c>
      <c r="K26" s="63" t="str">
        <f>IF(F26="N","0:00",IF(
OR(
AND(Masterdata!$B$4&lt;&gt;DATE(1900,1,0),Masterdata!$B$4&lt;$E26),
AND(Masterdata!$B$3&lt;&gt;DATE(1900,1,0),Masterdata!$B$3&gt;$E26)
),
"0:00",
IF(
$H26&gt;TIME(0,0,0),
IF(
OR($C26="Saturday",$C26="Sunday"),
TEXT($H26,"[tt]:mm"),
IF($H26-$V$8&gt;=0,TEXT($H26-$V$8,"[tt]:mm"),"-"&amp;TEXT(ABS($H26-$V$8),"[tt]:mm"))
),
IF(
OR($C26="Saturday",$C26="Sunday"),
IF($J26-$I26&gt;=0,TEXT($J26-$I26,"[tt]:mm"),"-"&amp;TEXT(ABS($J26-$I26),"[tt]:mm")),
IFERROR(
IF($G26-$V$8=0,
IF($G26-$V$8&gt;=0,TEXT($G26-$V$8,"[tt]:mm"),"-"&amp;TEXT(ABS($G26-$V$8),"[tt]:mm")),
IF($J26-$I26&gt;=0,TEXT($J26-$I26,"[tt]:mm"),"-"&amp;TEXT(ABS($J26-$I26),"[tt]:mm"))
),
IF(
$J26-$I26-$V$8&gt;=0,
TEXT($J26-$I26-$V$8,"[tt]:mm"),
"-"&amp;TEXT(ABS($J26-$I26-$V$8),"[tt]:mm")
)
)
)
)
))</f>
        <v>0:00</v>
      </c>
      <c r="L26" s="54" t="str">
        <f t="shared" si="3"/>
        <v>0</v>
      </c>
      <c r="M26" s="58" t="str">
        <f t="shared" si="4"/>
        <v>0:</v>
      </c>
      <c r="N26" s="51" t="str">
        <f t="shared" si="5"/>
        <v>0</v>
      </c>
      <c r="O26" s="57">
        <f t="shared" si="6"/>
        <v>0</v>
      </c>
      <c r="P26" s="6">
        <f t="shared" si="7"/>
        <v>0</v>
      </c>
      <c r="Q26" s="69"/>
    </row>
    <row r="27" spans="1:21" ht="15.75" x14ac:dyDescent="0.25">
      <c r="A27" s="12">
        <f t="shared" si="1"/>
        <v>38</v>
      </c>
      <c r="B27" s="13">
        <f t="shared" si="8"/>
        <v>45556</v>
      </c>
      <c r="C27" s="14" t="str" cm="1">
        <f t="array" ref="C27">_xlfn.SWITCH(WEEKDAY($D27, 2), 1, "Monday", 2, "Tuesday", 3, "Wednesday", 4, "Thursday", 5, "Friday", 6, "Saturday", 7, "Sunday")</f>
        <v>Saturday</v>
      </c>
      <c r="D27">
        <f t="shared" si="0"/>
        <v>7</v>
      </c>
      <c r="E27" s="42">
        <f t="shared" si="2"/>
        <v>45556</v>
      </c>
      <c r="F27" s="15" t="s">
        <v>21</v>
      </c>
      <c r="G27" s="17">
        <f>IF($F27="N",0,"Write in the next field")</f>
        <v>0</v>
      </c>
      <c r="H27" s="16">
        <v>0</v>
      </c>
      <c r="I27" s="16">
        <v>0</v>
      </c>
      <c r="J27" s="16">
        <v>0</v>
      </c>
      <c r="K27" s="63" t="str">
        <f>IF(F27="N","0:00",IF(
OR(
AND(Masterdata!$B$4&lt;&gt;DATE(1900,1,0),Masterdata!$B$4&lt;$E27),
AND(Masterdata!$B$3&lt;&gt;DATE(1900,1,0),Masterdata!$B$3&gt;$E27)
),
"0:00",
IF(
$H27&gt;TIME(0,0,0),
IF(
OR($C27="Saturday",$C27="Sunday"),
TEXT($H27,"[tt]:mm"),
IF($H27-$V$8&gt;=0,TEXT($H27-$V$8,"[tt]:mm"),"-"&amp;TEXT(ABS($H27-$V$8),"[tt]:mm"))
),
IF(
OR($C27="Saturday",$C27="Sunday"),
IF($J27-$I27&gt;=0,TEXT($J27-$I27,"[tt]:mm"),"-"&amp;TEXT(ABS($J27-$I27),"[tt]:mm")),
IFERROR(
IF($G27-$V$8=0,
IF($G27-$V$8&gt;=0,TEXT($G27-$V$8,"[tt]:mm"),"-"&amp;TEXT(ABS($G27-$V$8),"[tt]:mm")),
IF($J27-$I27&gt;=0,TEXT($J27-$I27,"[tt]:mm"),"-"&amp;TEXT(ABS($J27-$I27),"[tt]:mm"))
),
IF(
$J27-$I27-$V$8&gt;=0,
TEXT($J27-$I27-$V$8,"[tt]:mm"),
"-"&amp;TEXT(ABS($J27-$I27-$V$8),"[tt]:mm")
)
)
)
)
))</f>
        <v>0:00</v>
      </c>
      <c r="L27" s="54" t="str">
        <f t="shared" si="3"/>
        <v>0</v>
      </c>
      <c r="M27" s="58" t="str">
        <f t="shared" si="4"/>
        <v>0:</v>
      </c>
      <c r="N27" s="51" t="str">
        <f t="shared" si="5"/>
        <v>0</v>
      </c>
      <c r="O27" s="57">
        <f t="shared" si="6"/>
        <v>0</v>
      </c>
      <c r="P27" s="6">
        <f t="shared" si="7"/>
        <v>0</v>
      </c>
      <c r="Q27" s="69"/>
    </row>
    <row r="28" spans="1:21" ht="15.75" x14ac:dyDescent="0.25">
      <c r="A28" s="12">
        <f t="shared" si="1"/>
        <v>38</v>
      </c>
      <c r="B28" s="13">
        <f t="shared" si="8"/>
        <v>45557</v>
      </c>
      <c r="C28" s="14" t="str" cm="1">
        <f t="array" ref="C28">_xlfn.SWITCH(WEEKDAY($D28, 2), 1, "Monday", 2, "Tuesday", 3, "Wednesday", 4, "Thursday", 5, "Friday", 6, "Saturday", 7, "Sunday")</f>
        <v>Sunday</v>
      </c>
      <c r="D28">
        <f t="shared" si="0"/>
        <v>8</v>
      </c>
      <c r="E28" s="42">
        <f t="shared" si="2"/>
        <v>45557</v>
      </c>
      <c r="F28" s="15" t="s">
        <v>21</v>
      </c>
      <c r="G28" s="17">
        <f>IF($F28="N",0,"Write in the next field")</f>
        <v>0</v>
      </c>
      <c r="H28" s="16">
        <v>0</v>
      </c>
      <c r="I28" s="16">
        <v>0</v>
      </c>
      <c r="J28" s="16">
        <v>0</v>
      </c>
      <c r="K28" s="63" t="str">
        <f>IF(F28="N","0:00",IF(
OR(
AND(Masterdata!$B$4&lt;&gt;DATE(1900,1,0),Masterdata!$B$4&lt;$E28),
AND(Masterdata!$B$3&lt;&gt;DATE(1900,1,0),Masterdata!$B$3&gt;$E28)
),
"0:00",
IF(
$H28&gt;TIME(0,0,0),
IF(
OR($C28="Saturday",$C28="Sunday"),
TEXT($H28,"[tt]:mm"),
IF($H28-$V$8&gt;=0,TEXT($H28-$V$8,"[tt]:mm"),"-"&amp;TEXT(ABS($H28-$V$8),"[tt]:mm"))
),
IF(
OR($C28="Saturday",$C28="Sunday"),
IF($J28-$I28&gt;=0,TEXT($J28-$I28,"[tt]:mm"),"-"&amp;TEXT(ABS($J28-$I28),"[tt]:mm")),
IFERROR(
IF($G28-$V$8=0,
IF($G28-$V$8&gt;=0,TEXT($G28-$V$8,"[tt]:mm"),"-"&amp;TEXT(ABS($G28-$V$8),"[tt]:mm")),
IF($J28-$I28&gt;=0,TEXT($J28-$I28,"[tt]:mm"),"-"&amp;TEXT(ABS($J28-$I28),"[tt]:mm"))
),
IF(
$J28-$I28-$V$8&gt;=0,
TEXT($J28-$I28-$V$8,"[tt]:mm"),
"-"&amp;TEXT(ABS($J28-$I28-$V$8),"[tt]:mm")
)
)
)
)
))</f>
        <v>0:00</v>
      </c>
      <c r="L28" s="54" t="str">
        <f t="shared" si="3"/>
        <v>0</v>
      </c>
      <c r="M28" s="58" t="str">
        <f t="shared" si="4"/>
        <v>0:</v>
      </c>
      <c r="N28" s="51" t="str">
        <f t="shared" si="5"/>
        <v>0</v>
      </c>
      <c r="O28" s="57">
        <f t="shared" si="6"/>
        <v>0</v>
      </c>
      <c r="P28" s="6">
        <f t="shared" si="7"/>
        <v>0</v>
      </c>
      <c r="Q28" s="69"/>
    </row>
    <row r="29" spans="1:21" ht="15.75" x14ac:dyDescent="0.25">
      <c r="A29" s="12">
        <f t="shared" si="1"/>
        <v>39</v>
      </c>
      <c r="B29" s="13">
        <f t="shared" si="8"/>
        <v>45558</v>
      </c>
      <c r="C29" s="14" t="str" cm="1">
        <f t="array" ref="C29">_xlfn.SWITCH(WEEKDAY($D29, 2), 1, "Monday", 2, "Tuesday", 3, "Wednesday", 4, "Thursday", 5, "Friday", 6, "Saturday", 7, "Sunday")</f>
        <v>Monday</v>
      </c>
      <c r="D29">
        <f t="shared" si="0"/>
        <v>2</v>
      </c>
      <c r="E29" s="42">
        <f t="shared" si="2"/>
        <v>45558</v>
      </c>
      <c r="F29" s="15" t="s">
        <v>21</v>
      </c>
      <c r="G29" s="17">
        <f>IFERROR(
    IF($F29="N", $V$8,
        IF(OR(
            AND(Masterdata!$B$4&lt;&gt;DATE(1900,1,0), Masterdata!$B$4&lt;$E29),
            AND(Masterdata!$B$3&lt;&gt;DATE(1900,1,0), Masterdata!$B$3&gt;$E29)
        ),
        IF($H29&gt;=TIME(0,0,0), "Write in the next field", 0),
        IF($H29&gt;=TIME(0,0,0), "Write in the next field",
            IF($H29&gt;=0, 0,
                IF(OR($C29="Saturday", $C29="Sunday"), 0, 0)
            )
        )
    )),
"Write in the next field")</f>
        <v>0.30833333333333335</v>
      </c>
      <c r="H29" s="16">
        <v>0</v>
      </c>
      <c r="I29" s="16">
        <v>0</v>
      </c>
      <c r="J29" s="16">
        <v>0</v>
      </c>
      <c r="K29" s="63" t="str">
        <f>IF(F29="N","0:00",IF(
OR(
AND(Masterdata!$B$4&lt;&gt;DATE(1900,1,0),Masterdata!$B$4&lt;$E29),
AND(Masterdata!$B$3&lt;&gt;DATE(1900,1,0),Masterdata!$B$3&gt;$E29)
),
"0:00",
IF(
$H29&gt;TIME(0,0,0),
IF(
OR($C29="Saturday",$C29="Sunday"),
TEXT($H29,"[tt]:mm"),
IF($H29-$V$8&gt;=0,TEXT($H29-$V$8,"[tt]:mm"),"-"&amp;TEXT(ABS($H29-$V$8),"[tt]:mm"))
),
IF(
OR($C29="Saturday",$C29="Sunday"),
IF($J29-$I29&gt;=0,TEXT($J29-$I29,"[tt]:mm"),"-"&amp;TEXT(ABS($J29-$I29),"[tt]:mm")),
IFERROR(
IF($G29-$V$8=0,
IF($G29-$V$8&gt;=0,TEXT($G29-$V$8,"[tt]:mm"),"-"&amp;TEXT(ABS($G29-$V$8),"[tt]:mm")),
IF($J29-$I29&gt;=0,TEXT($J29-$I29,"[tt]:mm"),"-"&amp;TEXT(ABS($J29-$I29),"[tt]:mm"))
),
IF(
$J29-$I29-$V$8&gt;=0,
TEXT($J29-$I29-$V$8,"[tt]:mm"),
"-"&amp;TEXT(ABS($J29-$I29-$V$8),"[tt]:mm")
)
)
)
)
))</f>
        <v>0:00</v>
      </c>
      <c r="L29" s="54" t="str">
        <f t="shared" si="3"/>
        <v>0</v>
      </c>
      <c r="M29" s="58" t="str">
        <f t="shared" si="4"/>
        <v>0:</v>
      </c>
      <c r="N29" s="51" t="str">
        <f t="shared" si="5"/>
        <v>0</v>
      </c>
      <c r="O29" s="57">
        <f t="shared" si="6"/>
        <v>0</v>
      </c>
      <c r="P29" s="6">
        <f t="shared" si="7"/>
        <v>0</v>
      </c>
      <c r="Q29" s="69"/>
    </row>
    <row r="30" spans="1:21" ht="15.75" x14ac:dyDescent="0.25">
      <c r="A30" s="12">
        <f t="shared" si="1"/>
        <v>39</v>
      </c>
      <c r="B30" s="13">
        <f t="shared" si="8"/>
        <v>45559</v>
      </c>
      <c r="C30" s="14" t="str" cm="1">
        <f t="array" ref="C30">_xlfn.SWITCH(WEEKDAY($D30, 2), 1, "Monday", 2, "Tuesday", 3, "Wednesday", 4, "Thursday", 5, "Friday", 6, "Saturday", 7, "Sunday")</f>
        <v>Tuesday</v>
      </c>
      <c r="D30">
        <f t="shared" si="0"/>
        <v>3</v>
      </c>
      <c r="E30" s="42">
        <f t="shared" si="2"/>
        <v>45559</v>
      </c>
      <c r="F30" s="15" t="s">
        <v>21</v>
      </c>
      <c r="G30" s="17">
        <f>IFERROR(
    IF($F30="N", $V$8,
        IF(OR(
            AND(Masterdata!$B$4&lt;&gt;DATE(1900,1,0), Masterdata!$B$4&lt;$E30),
            AND(Masterdata!$B$3&lt;&gt;DATE(1900,1,0), Masterdata!$B$3&gt;$E30)
        ),
        IF($H30&gt;=TIME(0,0,0), "Write in the next field", 0),
        IF($H30&gt;=TIME(0,0,0), "Write in the next field",
            IF($H30&gt;=0, 0,
                IF(OR($C30="Saturday", $C30="Sunday"), 0, 0)
            )
        )
    )),
"Write in the next field")</f>
        <v>0.30833333333333335</v>
      </c>
      <c r="H30" s="16">
        <v>0</v>
      </c>
      <c r="I30" s="16">
        <v>0</v>
      </c>
      <c r="J30" s="16">
        <v>0</v>
      </c>
      <c r="K30" s="63" t="str">
        <f>IF(F30="N","0:00",IF(
OR(
AND(Masterdata!$B$4&lt;&gt;DATE(1900,1,0),Masterdata!$B$4&lt;$E30),
AND(Masterdata!$B$3&lt;&gt;DATE(1900,1,0),Masterdata!$B$3&gt;$E30)
),
"0:00",
IF(
$H30&gt;TIME(0,0,0),
IF(
OR($C30="Saturday",$C30="Sunday"),
TEXT($H30,"[tt]:mm"),
IF($H30-$V$8&gt;=0,TEXT($H30-$V$8,"[tt]:mm"),"-"&amp;TEXT(ABS($H30-$V$8),"[tt]:mm"))
),
IF(
OR($C30="Saturday",$C30="Sunday"),
IF($J30-$I30&gt;=0,TEXT($J30-$I30,"[tt]:mm"),"-"&amp;TEXT(ABS($J30-$I30),"[tt]:mm")),
IFERROR(
IF($G30-$V$8=0,
IF($G30-$V$8&gt;=0,TEXT($G30-$V$8,"[tt]:mm"),"-"&amp;TEXT(ABS($G30-$V$8),"[tt]:mm")),
IF($J30-$I30&gt;=0,TEXT($J30-$I30,"[tt]:mm"),"-"&amp;TEXT(ABS($J30-$I30),"[tt]:mm"))
),
IF(
$J30-$I30-$V$8&gt;=0,
TEXT($J30-$I30-$V$8,"[tt]:mm"),
"-"&amp;TEXT(ABS($J30-$I30-$V$8),"[tt]:mm")
)
)
)
)
))</f>
        <v>0:00</v>
      </c>
      <c r="L30" s="54" t="str">
        <f t="shared" si="3"/>
        <v>0</v>
      </c>
      <c r="M30" s="58" t="str">
        <f t="shared" si="4"/>
        <v>0:</v>
      </c>
      <c r="N30" s="51" t="str">
        <f t="shared" si="5"/>
        <v>0</v>
      </c>
      <c r="O30" s="57">
        <f t="shared" si="6"/>
        <v>0</v>
      </c>
      <c r="P30" s="6">
        <f t="shared" si="7"/>
        <v>0</v>
      </c>
      <c r="Q30" s="69"/>
    </row>
    <row r="31" spans="1:21" ht="15.75" x14ac:dyDescent="0.25">
      <c r="A31" s="12">
        <f t="shared" si="1"/>
        <v>39</v>
      </c>
      <c r="B31" s="13">
        <f t="shared" si="8"/>
        <v>45560</v>
      </c>
      <c r="C31" s="14" t="str" cm="1">
        <f t="array" ref="C31">_xlfn.SWITCH(WEEKDAY($D31, 2), 1, "Monday", 2, "Tuesday", 3, "Wednesday", 4, "Thursday", 5, "Friday", 6, "Saturday", 7, "Sunday")</f>
        <v>Wednesday</v>
      </c>
      <c r="D31">
        <f t="shared" si="0"/>
        <v>4</v>
      </c>
      <c r="E31" s="42">
        <f t="shared" si="2"/>
        <v>45560</v>
      </c>
      <c r="F31" s="15" t="s">
        <v>21</v>
      </c>
      <c r="G31" s="17">
        <f>IFERROR(
    IF($F31="N", $V$8,
        IF(OR(
            AND(Masterdata!$B$4&lt;&gt;DATE(1900,1,0), Masterdata!$B$4&lt;$E31),
            AND(Masterdata!$B$3&lt;&gt;DATE(1900,1,0), Masterdata!$B$3&gt;$E31)
        ),
        IF($H31&gt;=TIME(0,0,0), "Write in the next field", 0),
        IF($H31&gt;=TIME(0,0,0), "Write in the next field",
            IF($H31&gt;=0, 0,
                IF(OR($C31="Saturday", $C31="Sunday"), 0, 0)
            )
        )
    )),
"Write in the next field")</f>
        <v>0.30833333333333335</v>
      </c>
      <c r="H31" s="16">
        <v>0</v>
      </c>
      <c r="I31" s="16">
        <v>0</v>
      </c>
      <c r="J31" s="16">
        <v>0</v>
      </c>
      <c r="K31" s="63" t="str">
        <f>IF(F31="N","0:00",IF(
OR(
AND(Masterdata!$B$4&lt;&gt;DATE(1900,1,0),Masterdata!$B$4&lt;$E31),
AND(Masterdata!$B$3&lt;&gt;DATE(1900,1,0),Masterdata!$B$3&gt;$E31)
),
"0:00",
IF(
$H31&gt;TIME(0,0,0),
IF(
OR($C31="Saturday",$C31="Sunday"),
TEXT($H31,"[tt]:mm"),
IF($H31-$V$8&gt;=0,TEXT($H31-$V$8,"[tt]:mm"),"-"&amp;TEXT(ABS($H31-$V$8),"[tt]:mm"))
),
IF(
OR($C31="Saturday",$C31="Sunday"),
IF($J31-$I31&gt;=0,TEXT($J31-$I31,"[tt]:mm"),"-"&amp;TEXT(ABS($J31-$I31),"[tt]:mm")),
IFERROR(
IF($G31-$V$8=0,
IF($G31-$V$8&gt;=0,TEXT($G31-$V$8,"[tt]:mm"),"-"&amp;TEXT(ABS($G31-$V$8),"[tt]:mm")),
IF($J31-$I31&gt;=0,TEXT($J31-$I31,"[tt]:mm"),"-"&amp;TEXT(ABS($J31-$I31),"[tt]:mm"))
),
IF(
$J31-$I31-$V$8&gt;=0,
TEXT($J31-$I31-$V$8,"[tt]:mm"),
"-"&amp;TEXT(ABS($J31-$I31-$V$8),"[tt]:mm")
)
)
)
)
))</f>
        <v>0:00</v>
      </c>
      <c r="L31" s="54" t="str">
        <f t="shared" si="3"/>
        <v>0</v>
      </c>
      <c r="M31" s="58" t="str">
        <f t="shared" si="4"/>
        <v>0:</v>
      </c>
      <c r="N31" s="51" t="str">
        <f t="shared" si="5"/>
        <v>0</v>
      </c>
      <c r="O31" s="57">
        <f t="shared" si="6"/>
        <v>0</v>
      </c>
      <c r="P31" s="6">
        <f t="shared" si="7"/>
        <v>0</v>
      </c>
      <c r="Q31" s="69"/>
    </row>
    <row r="32" spans="1:21" ht="15.75" x14ac:dyDescent="0.25">
      <c r="A32" s="12">
        <f t="shared" si="1"/>
        <v>39</v>
      </c>
      <c r="B32" s="13">
        <f t="shared" si="8"/>
        <v>45561</v>
      </c>
      <c r="C32" s="14" t="str" cm="1">
        <f t="array" ref="C32">_xlfn.SWITCH(WEEKDAY($D32, 2), 1, "Monday", 2, "Tuesday", 3, "Wednesday", 4, "Thursday", 5, "Friday", 6, "Saturday", 7, "Sunday")</f>
        <v>Thursday</v>
      </c>
      <c r="D32">
        <f t="shared" si="0"/>
        <v>5</v>
      </c>
      <c r="E32" s="42">
        <f t="shared" si="2"/>
        <v>45561</v>
      </c>
      <c r="F32" s="15" t="s">
        <v>21</v>
      </c>
      <c r="G32" s="17">
        <f>IFERROR(
    IF($F32="N", $V$8,
        IF(OR(
            AND(Masterdata!$B$4&lt;&gt;DATE(1900,1,0), Masterdata!$B$4&lt;$E32),
            AND(Masterdata!$B$3&lt;&gt;DATE(1900,1,0), Masterdata!$B$3&gt;$E32)
        ),
        IF($H32&gt;=TIME(0,0,0), "Write in the next field", 0),
        IF($H32&gt;=TIME(0,0,0), "Write in the next field",
            IF($H32&gt;=0, 0,
                IF(OR($C32="Saturday", $C32="Sunday"), 0, 0)
            )
        )
    )),
"Write in the next field")</f>
        <v>0.30833333333333335</v>
      </c>
      <c r="H32" s="16">
        <v>0</v>
      </c>
      <c r="I32" s="16">
        <v>0</v>
      </c>
      <c r="J32" s="16">
        <v>0</v>
      </c>
      <c r="K32" s="63" t="str">
        <f>IF(F32="N","0:00",IF(
OR(
AND(Masterdata!$B$4&lt;&gt;DATE(1900,1,0),Masterdata!$B$4&lt;$E32),
AND(Masterdata!$B$3&lt;&gt;DATE(1900,1,0),Masterdata!$B$3&gt;$E32)
),
"0:00",
IF(
$H32&gt;TIME(0,0,0),
IF(
OR($C32="Saturday",$C32="Sunday"),
TEXT($H32,"[tt]:mm"),
IF($H32-$V$8&gt;=0,TEXT($H32-$V$8,"[tt]:mm"),"-"&amp;TEXT(ABS($H32-$V$8),"[tt]:mm"))
),
IF(
OR($C32="Saturday",$C32="Sunday"),
IF($J32-$I32&gt;=0,TEXT($J32-$I32,"[tt]:mm"),"-"&amp;TEXT(ABS($J32-$I32),"[tt]:mm")),
IFERROR(
IF($G32-$V$8=0,
IF($G32-$V$8&gt;=0,TEXT($G32-$V$8,"[tt]:mm"),"-"&amp;TEXT(ABS($G32-$V$8),"[tt]:mm")),
IF($J32-$I32&gt;=0,TEXT($J32-$I32,"[tt]:mm"),"-"&amp;TEXT(ABS($J32-$I32),"[tt]:mm"))
),
IF(
$J32-$I32-$V$8&gt;=0,
TEXT($J32-$I32-$V$8,"[tt]:mm"),
"-"&amp;TEXT(ABS($J32-$I32-$V$8),"[tt]:mm")
)
)
)
)
))</f>
        <v>0:00</v>
      </c>
      <c r="L32" s="54" t="str">
        <f t="shared" si="3"/>
        <v>0</v>
      </c>
      <c r="M32" s="58" t="str">
        <f t="shared" si="4"/>
        <v>0:</v>
      </c>
      <c r="N32" s="51" t="str">
        <f t="shared" si="5"/>
        <v>0</v>
      </c>
      <c r="O32" s="57">
        <f t="shared" si="6"/>
        <v>0</v>
      </c>
      <c r="P32" s="6">
        <f t="shared" si="7"/>
        <v>0</v>
      </c>
      <c r="Q32" s="69"/>
    </row>
    <row r="33" spans="1:17" ht="15.75" x14ac:dyDescent="0.25">
      <c r="A33" s="12">
        <f t="shared" si="1"/>
        <v>39</v>
      </c>
      <c r="B33" s="13">
        <f t="shared" si="8"/>
        <v>45562</v>
      </c>
      <c r="C33" s="14" t="str" cm="1">
        <f t="array" ref="C33">_xlfn.SWITCH(WEEKDAY($D33, 2), 1, "Monday", 2, "Tuesday", 3, "Wednesday", 4, "Thursday", 5, "Friday", 6, "Saturday", 7, "Sunday")</f>
        <v>Friday</v>
      </c>
      <c r="D33">
        <f t="shared" si="0"/>
        <v>6</v>
      </c>
      <c r="E33" s="42">
        <f t="shared" si="2"/>
        <v>45562</v>
      </c>
      <c r="F33" s="15" t="s">
        <v>21</v>
      </c>
      <c r="G33" s="17">
        <f>IFERROR(
    IF($F33="N", $V$8,
        IF(OR(
            AND(Masterdata!$B$4&lt;&gt;DATE(1900,1,0), Masterdata!$B$4&lt;$E33),
            AND(Masterdata!$B$3&lt;&gt;DATE(1900,1,0), Masterdata!$B$3&gt;$E33)
        ),
        IF($H33&gt;=TIME(0,0,0), "Write in the next field", 0),
        IF($H33&gt;=TIME(0,0,0), "Write in the next field",
            IF($H33&gt;=0, 0,
                IF(OR($C33="Saturday", $C33="Sunday"), 0, 0)
            )
        )
    )),
"Write in the next field")</f>
        <v>0.30833333333333335</v>
      </c>
      <c r="H33" s="16">
        <v>0</v>
      </c>
      <c r="I33" s="16">
        <v>0</v>
      </c>
      <c r="J33" s="16">
        <v>0</v>
      </c>
      <c r="K33" s="63" t="str">
        <f>IF(F33="N","0:00",IF(
OR(
AND(Masterdata!$B$4&lt;&gt;DATE(1900,1,0),Masterdata!$B$4&lt;$E33),
AND(Masterdata!$B$3&lt;&gt;DATE(1900,1,0),Masterdata!$B$3&gt;$E33)
),
"0:00",
IF(
$H33&gt;TIME(0,0,0),
IF(
OR($C33="Saturday",$C33="Sunday"),
TEXT($H33,"[tt]:mm"),
IF($H33-$V$8&gt;=0,TEXT($H33-$V$8,"[tt]:mm"),"-"&amp;TEXT(ABS($H33-$V$8),"[tt]:mm"))
),
IF(
OR($C33="Saturday",$C33="Sunday"),
IF($J33-$I33&gt;=0,TEXT($J33-$I33,"[tt]:mm"),"-"&amp;TEXT(ABS($J33-$I33),"[tt]:mm")),
IFERROR(
IF($G33-$V$8=0,
IF($G33-$V$8&gt;=0,TEXT($G33-$V$8,"[tt]:mm"),"-"&amp;TEXT(ABS($G33-$V$8),"[tt]:mm")),
IF($J33-$I33&gt;=0,TEXT($J33-$I33,"[tt]:mm"),"-"&amp;TEXT(ABS($J33-$I33),"[tt]:mm"))
),
IF(
$J33-$I33-$V$8&gt;=0,
TEXT($J33-$I33-$V$8,"[tt]:mm"),
"-"&amp;TEXT(ABS($J33-$I33-$V$8),"[tt]:mm")
)
)
)
)
))</f>
        <v>0:00</v>
      </c>
      <c r="L33" s="54" t="str">
        <f t="shared" si="3"/>
        <v>0</v>
      </c>
      <c r="M33" s="58" t="str">
        <f t="shared" si="4"/>
        <v>0:</v>
      </c>
      <c r="N33" s="51" t="str">
        <f t="shared" si="5"/>
        <v>0</v>
      </c>
      <c r="O33" s="57">
        <f t="shared" si="6"/>
        <v>0</v>
      </c>
      <c r="P33" s="6">
        <f t="shared" si="7"/>
        <v>0</v>
      </c>
      <c r="Q33" s="69"/>
    </row>
    <row r="34" spans="1:17" ht="15.75" x14ac:dyDescent="0.25">
      <c r="A34" s="12">
        <f t="shared" si="1"/>
        <v>39</v>
      </c>
      <c r="B34" s="13">
        <f t="shared" si="8"/>
        <v>45563</v>
      </c>
      <c r="C34" s="14" t="str" cm="1">
        <f t="array" ref="C34">_xlfn.SWITCH(WEEKDAY($D34, 2), 1, "Monday", 2, "Tuesday", 3, "Wednesday", 4, "Thursday", 5, "Friday", 6, "Saturday", 7, "Sunday")</f>
        <v>Saturday</v>
      </c>
      <c r="D34">
        <f t="shared" si="0"/>
        <v>7</v>
      </c>
      <c r="E34" s="42">
        <f t="shared" si="2"/>
        <v>45563</v>
      </c>
      <c r="F34" s="15" t="s">
        <v>21</v>
      </c>
      <c r="G34" s="17">
        <f>IF($F34="N",0,"Write in the next field")</f>
        <v>0</v>
      </c>
      <c r="H34" s="16">
        <v>0</v>
      </c>
      <c r="I34" s="16">
        <v>0</v>
      </c>
      <c r="J34" s="16">
        <v>0</v>
      </c>
      <c r="K34" s="63" t="str">
        <f>IF(F34="N","0:00",IF(
OR(
AND(Masterdata!$B$4&lt;&gt;DATE(1900,1,0),Masterdata!$B$4&lt;$E34),
AND(Masterdata!$B$3&lt;&gt;DATE(1900,1,0),Masterdata!$B$3&gt;$E34)
),
"0:00",
IF(
$H34&gt;TIME(0,0,0),
IF(
OR($C34="Saturday",$C34="Sunday"),
TEXT($H34,"[tt]:mm"),
IF($H34-$V$8&gt;=0,TEXT($H34-$V$8,"[tt]:mm"),"-"&amp;TEXT(ABS($H34-$V$8),"[tt]:mm"))
),
IF(
OR($C34="Saturday",$C34="Sunday"),
IF($J34-$I34&gt;=0,TEXT($J34-$I34,"[tt]:mm"),"-"&amp;TEXT(ABS($J34-$I34),"[tt]:mm")),
IFERROR(
IF($G34-$V$8=0,
IF($G34-$V$8&gt;=0,TEXT($G34-$V$8,"[tt]:mm"),"-"&amp;TEXT(ABS($G34-$V$8),"[tt]:mm")),
IF($J34-$I34&gt;=0,TEXT($J34-$I34,"[tt]:mm"),"-"&amp;TEXT(ABS($J34-$I34),"[tt]:mm"))
),
IF(
$J34-$I34-$V$8&gt;=0,
TEXT($J34-$I34-$V$8,"[tt]:mm"),
"-"&amp;TEXT(ABS($J34-$I34-$V$8),"[tt]:mm")
)
)
)
)
))</f>
        <v>0:00</v>
      </c>
      <c r="L34" s="54" t="str">
        <f t="shared" si="3"/>
        <v>0</v>
      </c>
      <c r="M34" s="58" t="str">
        <f t="shared" si="4"/>
        <v>0:</v>
      </c>
      <c r="N34" s="51" t="str">
        <f t="shared" si="5"/>
        <v>0</v>
      </c>
      <c r="O34" s="57">
        <f t="shared" si="6"/>
        <v>0</v>
      </c>
      <c r="P34" s="6">
        <f t="shared" si="7"/>
        <v>0</v>
      </c>
      <c r="Q34" s="69"/>
    </row>
    <row r="35" spans="1:17" ht="15.75" x14ac:dyDescent="0.25">
      <c r="A35" s="12">
        <f t="shared" si="1"/>
        <v>39</v>
      </c>
      <c r="B35" s="13">
        <f t="shared" si="8"/>
        <v>45564</v>
      </c>
      <c r="C35" s="14" t="str" cm="1">
        <f t="array" ref="C35">_xlfn.SWITCH(WEEKDAY($D35, 2), 1, "Monday", 2, "Tuesday", 3, "Wednesday", 4, "Thursday", 5, "Friday", 6, "Saturday", 7, "Sunday")</f>
        <v>Sunday</v>
      </c>
      <c r="D35">
        <f t="shared" si="0"/>
        <v>8</v>
      </c>
      <c r="E35" s="42">
        <f t="shared" si="2"/>
        <v>45564</v>
      </c>
      <c r="F35" s="15" t="s">
        <v>21</v>
      </c>
      <c r="G35" s="17">
        <f>IF($F35="N",0,"Write in the next field")</f>
        <v>0</v>
      </c>
      <c r="H35" s="16">
        <v>0</v>
      </c>
      <c r="I35" s="16">
        <v>0</v>
      </c>
      <c r="J35" s="16">
        <v>0</v>
      </c>
      <c r="K35" s="63" t="str">
        <f>IF(F35="N","0:00",IF(
OR(
AND(Masterdata!$B$4&lt;&gt;DATE(1900,1,0),Masterdata!$B$4&lt;$E35),
AND(Masterdata!$B$3&lt;&gt;DATE(1900,1,0),Masterdata!$B$3&gt;$E35)
),
"0:00",
IF(
$H35&gt;TIME(0,0,0),
IF(
OR($C35="Saturday",$C35="Sunday"),
TEXT($H35,"[tt]:mm"),
IF($H35-$V$8&gt;=0,TEXT($H35-$V$8,"[tt]:mm"),"-"&amp;TEXT(ABS($H35-$V$8),"[tt]:mm"))
),
IF(
OR($C35="Saturday",$C35="Sunday"),
IF($J35-$I35&gt;=0,TEXT($J35-$I35,"[tt]:mm"),"-"&amp;TEXT(ABS($J35-$I35),"[tt]:mm")),
IFERROR(
IF($G35-$V$8=0,
IF($G35-$V$8&gt;=0,TEXT($G35-$V$8,"[tt]:mm"),"-"&amp;TEXT(ABS($G35-$V$8),"[tt]:mm")),
IF($J35-$I35&gt;=0,TEXT($J35-$I35,"[tt]:mm"),"-"&amp;TEXT(ABS($J35-$I35),"[tt]:mm"))
),
IF(
$J35-$I35-$V$8&gt;=0,
TEXT($J35-$I35-$V$8,"[tt]:mm"),
"-"&amp;TEXT(ABS($J35-$I35-$V$8),"[tt]:mm")
)
)
)
)
))</f>
        <v>0:00</v>
      </c>
      <c r="L35" s="54" t="str">
        <f t="shared" si="3"/>
        <v>0</v>
      </c>
      <c r="M35" s="58" t="str">
        <f t="shared" si="4"/>
        <v>0:</v>
      </c>
      <c r="N35" s="51" t="str">
        <f t="shared" si="5"/>
        <v>0</v>
      </c>
      <c r="O35" s="57">
        <f t="shared" si="6"/>
        <v>0</v>
      </c>
      <c r="P35" s="6">
        <f t="shared" si="7"/>
        <v>0</v>
      </c>
      <c r="Q35" s="69"/>
    </row>
    <row r="36" spans="1:17" ht="15.75" x14ac:dyDescent="0.25">
      <c r="A36" s="12">
        <f t="shared" si="1"/>
        <v>40</v>
      </c>
      <c r="B36" s="13">
        <f t="shared" si="8"/>
        <v>45565</v>
      </c>
      <c r="C36" s="14" t="str" cm="1">
        <f t="array" ref="C36">_xlfn.SWITCH(WEEKDAY($D36, 2), 1, "Monday", 2, "Tuesday", 3, "Wednesday", 4, "Thursday", 5, "Friday", 6, "Saturday", 7, "Sunday")</f>
        <v>Monday</v>
      </c>
      <c r="D36">
        <f t="shared" si="0"/>
        <v>2</v>
      </c>
      <c r="E36" s="42">
        <f t="shared" si="2"/>
        <v>45565</v>
      </c>
      <c r="F36" s="15" t="s">
        <v>21</v>
      </c>
      <c r="G36" s="17">
        <f>IFERROR(
    IF($F36="N", $V$8,
        IF(OR(
            AND(Masterdata!$B$4&lt;&gt;DATE(1900,1,0), Masterdata!$B$4&lt;$E36),
            AND(Masterdata!$B$3&lt;&gt;DATE(1900,1,0), Masterdata!$B$3&gt;$E36)
        ),
        IF($H36&gt;=TIME(0,0,0), "Write in the next field", 0),
        IF($H36&gt;=TIME(0,0,0), "Write in the next field",
            IF($H36&gt;=0, 0,
                IF(OR($C36="Saturday", $C36="Sunday"), 0, 0)
            )
        )
    )),
"Write in the next field")</f>
        <v>0.30833333333333335</v>
      </c>
      <c r="H36" s="16">
        <v>0</v>
      </c>
      <c r="I36" s="16">
        <v>0</v>
      </c>
      <c r="J36" s="16">
        <v>0</v>
      </c>
      <c r="K36" s="63" t="str">
        <f>IF(F36="N","0:00",IF(
OR(
AND(Masterdata!$B$4&lt;&gt;DATE(1900,1,0),Masterdata!$B$4&lt;$E36),
AND(Masterdata!$B$3&lt;&gt;DATE(1900,1,0),Masterdata!$B$3&gt;$E36)
),
"0:00",
IF(
$H36&gt;TIME(0,0,0),
IF(
OR($C36="Saturday",$C36="Sunday"),
TEXT($H36,"[tt]:mm"),
IF($H36-$V$8&gt;=0,TEXT($H36-$V$8,"[tt]:mm"),"-"&amp;TEXT(ABS($H36-$V$8),"[tt]:mm"))
),
IF(
OR($C36="Saturday",$C36="Sunday"),
IF($J36-$I36&gt;=0,TEXT($J36-$I36,"[tt]:mm"),"-"&amp;TEXT(ABS($J36-$I36),"[tt]:mm")),
IFERROR(
IF($G36-$V$8=0,
IF($G36-$V$8&gt;=0,TEXT($G36-$V$8,"[tt]:mm"),"-"&amp;TEXT(ABS($G36-$V$8),"[tt]:mm")),
IF($J36-$I36&gt;=0,TEXT($J36-$I36,"[tt]:mm"),"-"&amp;TEXT(ABS($J36-$I36),"[tt]:mm"))
),
IF(
$J36-$I36-$V$8&gt;=0,
TEXT($J36-$I36-$V$8,"[tt]:mm"),
"-"&amp;TEXT(ABS($J36-$I36-$V$8),"[tt]:mm")
)
)
)
)
))</f>
        <v>0:00</v>
      </c>
      <c r="L36" s="54" t="str">
        <f t="shared" si="3"/>
        <v>0</v>
      </c>
      <c r="M36" s="58" t="str">
        <f t="shared" si="4"/>
        <v>0:</v>
      </c>
      <c r="N36" s="51" t="str">
        <f t="shared" si="5"/>
        <v>0</v>
      </c>
      <c r="O36" s="57">
        <f t="shared" si="6"/>
        <v>0</v>
      </c>
      <c r="P36" s="6">
        <f t="shared" si="7"/>
        <v>0</v>
      </c>
      <c r="Q36" s="69"/>
    </row>
    <row r="37" spans="1:17" x14ac:dyDescent="0.25">
      <c r="K37" s="8"/>
      <c r="P37" s="6">
        <f>SUM(P7:P36)</f>
        <v>0</v>
      </c>
    </row>
  </sheetData>
  <sheetProtection algorithmName="SHA-512" hashValue="2EPCk8tZYfkSpkFJIEO4ytH1rExLmYVS+37a0S5Hbv+KRQVsoD8NZ7eRZogrpsjGuPMQvsjM7dFLWahpaiK/3A==" saltValue="Rc384tflnR3RlMs1dfoBkA==" spinCount="100000" sheet="1" objects="1" scenarios="1"/>
  <conditionalFormatting sqref="A7:G36">
    <cfRule type="expression" dxfId="22" priority="1">
      <formula>OR($C7="Saturday", $C7="Sunday")</formula>
    </cfRule>
  </conditionalFormatting>
  <conditionalFormatting sqref="G7:G36">
    <cfRule type="expression" dxfId="21" priority="2">
      <formula>AND($F7="N", NOT(OR($C7="Saturday", $C7="Sunday")))</formula>
    </cfRule>
  </conditionalFormatting>
  <conditionalFormatting sqref="H7:J36">
    <cfRule type="expression" dxfId="20" priority="173">
      <formula>OR($F7="N")</formula>
    </cfRule>
    <cfRule type="expression" dxfId="19" priority="175">
      <formula>$F7="R"</formula>
    </cfRule>
  </conditionalFormatting>
  <dataValidations count="1">
    <dataValidation type="list" allowBlank="1" showInputMessage="1" showErrorMessage="1" sqref="F7:F36" xr:uid="{2A8F0C45-741C-441E-BF26-5578F6C02BC5}">
      <formula1>$Q$2:$Q$3</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1050-F6DD-439A-A946-3C6625E87F28}">
  <dimension ref="A1:X38"/>
  <sheetViews>
    <sheetView tabSelected="1" zoomScale="70" zoomScaleNormal="70" workbookViewId="0">
      <selection activeCell="H13" sqref="H13"/>
    </sheetView>
  </sheetViews>
  <sheetFormatPr defaultRowHeight="15" outlineLevelCol="1" x14ac:dyDescent="0.25"/>
  <cols>
    <col min="1" max="1" width="20.85546875" style="88" bestFit="1" customWidth="1"/>
    <col min="2" max="2" width="14.140625" style="88" customWidth="1"/>
    <col min="3" max="3" width="13" style="88" bestFit="1" customWidth="1"/>
    <col min="4" max="4" width="15" style="88" hidden="1" customWidth="1"/>
    <col min="5" max="5" width="12.85546875" style="88" hidden="1" customWidth="1"/>
    <col min="6" max="6" width="11.28515625" style="88" customWidth="1"/>
    <col min="7" max="8" width="20.85546875" style="88" bestFit="1" customWidth="1"/>
    <col min="9" max="10" width="11.28515625" style="88" customWidth="1"/>
    <col min="11" max="11" width="17.28515625" style="88" bestFit="1" customWidth="1"/>
    <col min="12" max="16" width="11.5703125" style="88" hidden="1" customWidth="1" outlineLevel="1"/>
    <col min="17" max="17" width="28.5703125" style="88" customWidth="1" collapsed="1"/>
    <col min="18" max="18" width="90.7109375" style="88" bestFit="1" customWidth="1"/>
    <col min="19" max="19" width="9.140625" style="88" hidden="1" customWidth="1" outlineLevel="1"/>
    <col min="20" max="20" width="24.7109375" style="88" hidden="1" customWidth="1" outlineLevel="1"/>
    <col min="21" max="21" width="43" style="88" hidden="1" customWidth="1" outlineLevel="1"/>
    <col min="22" max="22" width="7.85546875" style="88" hidden="1" customWidth="1" outlineLevel="1"/>
    <col min="23" max="23" width="19.42578125" style="88" hidden="1" customWidth="1" outlineLevel="1"/>
    <col min="24" max="24" width="9.140625" style="88" collapsed="1"/>
    <col min="25" max="16384" width="9.140625" style="88"/>
  </cols>
  <sheetData>
    <row r="1" spans="1:24" ht="17.25" thickBot="1" x14ac:dyDescent="0.35">
      <c r="A1" s="122" t="str">
        <f>Masterdata!B13</f>
        <v>Standard work hours</v>
      </c>
      <c r="B1" s="37">
        <v>37</v>
      </c>
      <c r="Q1" s="120" t="s">
        <v>84</v>
      </c>
      <c r="R1" s="121" t="s">
        <v>85</v>
      </c>
    </row>
    <row r="2" spans="1:24" ht="30.75" x14ac:dyDescent="0.25">
      <c r="A2" s="108" t="s">
        <v>79</v>
      </c>
      <c r="B2" s="109" t="str">
        <f>IF(P38&lt;0,"-"&amp;TEXT(ABS(P38/24),"[TT]:mm"),TEXT(P38/24,"[TT]:mm"))</f>
        <v>00:00</v>
      </c>
      <c r="Q2" s="110" t="s">
        <v>21</v>
      </c>
      <c r="R2" s="111" t="s">
        <v>86</v>
      </c>
    </row>
    <row r="3" spans="1:24" ht="63" x14ac:dyDescent="0.25">
      <c r="A3" s="112" t="s">
        <v>72</v>
      </c>
      <c r="B3" s="113">
        <f>B7</f>
        <v>45566</v>
      </c>
      <c r="Q3" s="114" t="s">
        <v>23</v>
      </c>
      <c r="R3" s="115" t="s">
        <v>97</v>
      </c>
    </row>
    <row r="4" spans="1:24" ht="16.5" thickBot="1" x14ac:dyDescent="0.3">
      <c r="A4" s="116" t="s">
        <v>81</v>
      </c>
      <c r="B4" s="117" t="s">
        <v>83</v>
      </c>
      <c r="Q4" s="118" t="s">
        <v>87</v>
      </c>
      <c r="R4" s="119" t="s">
        <v>88</v>
      </c>
    </row>
    <row r="5" spans="1:24" ht="15.75" thickBot="1" x14ac:dyDescent="0.3"/>
    <row r="6" spans="1:24" ht="21.75" customHeight="1" thickBot="1" x14ac:dyDescent="0.3">
      <c r="A6" s="103" t="s">
        <v>89</v>
      </c>
      <c r="B6" s="104" t="s">
        <v>90</v>
      </c>
      <c r="C6" s="104" t="s">
        <v>91</v>
      </c>
      <c r="D6" s="104" t="s">
        <v>30</v>
      </c>
      <c r="E6" s="104" t="s">
        <v>31</v>
      </c>
      <c r="F6" s="104" t="s">
        <v>84</v>
      </c>
      <c r="G6" s="104" t="s">
        <v>77</v>
      </c>
      <c r="H6" s="104" t="s">
        <v>92</v>
      </c>
      <c r="I6" s="105" t="s">
        <v>34</v>
      </c>
      <c r="J6" s="105" t="s">
        <v>93</v>
      </c>
      <c r="K6" s="104" t="s">
        <v>94</v>
      </c>
      <c r="L6" s="106" t="s">
        <v>37</v>
      </c>
      <c r="M6" s="107" t="s">
        <v>38</v>
      </c>
      <c r="N6" s="107" t="s">
        <v>39</v>
      </c>
      <c r="O6" s="107"/>
      <c r="Q6" s="104" t="s">
        <v>95</v>
      </c>
      <c r="U6" s="88" t="s">
        <v>41</v>
      </c>
      <c r="V6" s="88">
        <v>5</v>
      </c>
    </row>
    <row r="7" spans="1:24" ht="15.75" x14ac:dyDescent="0.25">
      <c r="A7" s="98">
        <f>WEEKNUM($B7,21)</f>
        <v>40</v>
      </c>
      <c r="B7" s="99">
        <f>DATE(Masterdata!$B$5,10,1)</f>
        <v>45566</v>
      </c>
      <c r="C7" s="100" t="str" cm="1">
        <f t="array" ref="C7">_xlfn.SWITCH(WEEKDAY($D7, 2), 1, "Monday", 2, "Tuesday", 3, "Wednesday", 4, "Thursday", 5, "Friday", 6, "Saturday", 7, "Sunday")</f>
        <v>Tuesday</v>
      </c>
      <c r="D7" s="88">
        <f t="shared" ref="D7:D37" si="0">WEEKDAY($B7, 2)+1</f>
        <v>3</v>
      </c>
      <c r="E7" s="92">
        <f>$B7</f>
        <v>45566</v>
      </c>
      <c r="F7" s="15" t="s">
        <v>21</v>
      </c>
      <c r="G7" s="87">
        <f>IFERROR(
    IF($F7="N", $V$8,
        IF(OR(
            AND(Masterdata!$B$4&lt;&gt;DATE(1900,1,0), Masterdata!$B$4&lt;$E7),
            AND(Masterdata!$B$3&lt;&gt;DATE(1900,1,0), Masterdata!$B$3&gt;$E7)
        ),
        IF($H7&gt;=TIME(0,0,0), "Write in the next field", 0),
        IF($H7&gt;=TIME(0,0,0), "Write in the next field",
            IF($H7&gt;=0, 0,
                IF(OR($C7="Saturday", $C7="Sunday"), 0, 0)
            )
        )
    )),
"Write in the next field")</f>
        <v>0.30833333333333335</v>
      </c>
      <c r="H7" s="16">
        <v>0</v>
      </c>
      <c r="I7" s="16">
        <v>0</v>
      </c>
      <c r="J7" s="16">
        <v>0</v>
      </c>
      <c r="K7" s="86" t="str">
        <f>IF(F7="N","0:00",IF(
OR(
AND(Masterdata!$B$4&lt;&gt;DATE(1900,1,0),Masterdata!$B$4&lt;$E7),
AND(Masterdata!$B$3&lt;&gt;DATE(1900,1,0),Masterdata!$B$3&gt;$E7)
),
"0:00",
IF(
$H7&gt;TIME(0,0,0),
IF(
OR($C7="Saturday",$C7="Sunday"),
TEXT($H7,"[tt]:mm"),
IF($H7-$V$8&gt;=0,TEXT($H7-$V$8,"[tt]:mm"),"-"&amp;TEXT(ABS($H7-$V$8),"[tt]:mm"))
),
IF(
OR($C7="Saturday",$C7="Sunday"),
IF($J7-$I7&gt;=0,TEXT($J7-$I7,"[tt]:mm"),"-"&amp;TEXT(ABS($J7-$I7),"[tt]:mm")),
IFERROR(
IF($G7-$V$8=0,
IF($G7-$V$8&gt;=0,TEXT($G7-$V$8,"[tt]:mm"),"-"&amp;TEXT(ABS($G7-$V$8),"[tt]:mm")),
IF($J7-$I7&gt;=0,TEXT($J7-$I7,"[tt]:mm"),"-"&amp;TEXT(ABS($J7-$I7),"[tt]:mm"))
),
IF(
$J7-$I7-$V$8&gt;=0,
TEXT($J7-$I7-$V$8,"[tt]:mm"),
"-"&amp;TEXT(ABS($J7-$I7-$V$8),"[tt]:mm")
)
)
)
)
))</f>
        <v>0:00</v>
      </c>
      <c r="L7" s="94" t="str">
        <f>LEFT(K7,1)</f>
        <v>0</v>
      </c>
      <c r="M7" s="95" t="str">
        <f>IF($L7="-",LEFT($K7,3),LEFT($K7,2))</f>
        <v>0:</v>
      </c>
      <c r="N7" s="96" t="str">
        <f>IF($L7="-",MID($K7,5,2),MID($K7,4,2))</f>
        <v>0</v>
      </c>
      <c r="O7" s="97">
        <f>N7/60</f>
        <v>0</v>
      </c>
      <c r="P7" s="90">
        <f>IF(L7="-",M7-O7,M7+O7)</f>
        <v>0</v>
      </c>
      <c r="Q7" s="68"/>
      <c r="R7" s="101"/>
      <c r="U7" s="88" t="s">
        <v>42</v>
      </c>
      <c r="V7" s="102">
        <f>B1/V6</f>
        <v>7.4</v>
      </c>
      <c r="W7" s="88">
        <v>0</v>
      </c>
      <c r="X7" s="89"/>
    </row>
    <row r="8" spans="1:24" ht="15.75" x14ac:dyDescent="0.25">
      <c r="A8" s="98">
        <f t="shared" ref="A8:A37" si="1">WEEKNUM($B8,21)</f>
        <v>40</v>
      </c>
      <c r="B8" s="99">
        <f>B7+1</f>
        <v>45567</v>
      </c>
      <c r="C8" s="100" t="str" cm="1">
        <f t="array" ref="C8">_xlfn.SWITCH(WEEKDAY($D8, 2), 1, "Monday", 2, "Tuesday", 3, "Wednesday", 4, "Thursday", 5, "Friday", 6, "Saturday", 7, "Sunday")</f>
        <v>Wednesday</v>
      </c>
      <c r="D8" s="88">
        <f t="shared" si="0"/>
        <v>4</v>
      </c>
      <c r="E8" s="92">
        <f t="shared" ref="E8:E37" si="2">$B8</f>
        <v>45567</v>
      </c>
      <c r="F8" s="15" t="s">
        <v>21</v>
      </c>
      <c r="G8" s="87">
        <f>IFERROR(
    IF($F8="N", $V$8,
        IF(OR(
            AND(Masterdata!$B$4&lt;&gt;DATE(1900,1,0), Masterdata!$B$4&lt;$E8),
            AND(Masterdata!$B$3&lt;&gt;DATE(1900,1,0), Masterdata!$B$3&gt;$E8)
        ),
        IF($H8&gt;=TIME(0,0,0), "Write in the next field", 0),
        IF($H8&gt;=TIME(0,0,0), "Write in the next field",
            IF($H8&gt;=0, 0,
                IF(OR($C8="Saturday", $C8="Sunday"), 0, 0)
            )
        )
    )),
"Write in the next field")</f>
        <v>0.30833333333333335</v>
      </c>
      <c r="H8" s="16">
        <v>0</v>
      </c>
      <c r="I8" s="16">
        <v>0</v>
      </c>
      <c r="J8" s="16">
        <v>0</v>
      </c>
      <c r="K8" s="86" t="str">
        <f>IF(F8="N","0:00",IF(
OR(
AND(Masterdata!$B$4&lt;&gt;DATE(1900,1,0),Masterdata!$B$4&lt;$E8),
AND(Masterdata!$B$3&lt;&gt;DATE(1900,1,0),Masterdata!$B$3&gt;$E8)
),
"0:00",
IF(
$H8&gt;TIME(0,0,0),
IF(
OR($C8="Saturday",$C8="Sunday"),
TEXT($H8,"[tt]:mm"),
IF($H8-$V$8&gt;=0,TEXT($H8-$V$8,"[tt]:mm"),"-"&amp;TEXT(ABS($H8-$V$8),"[tt]:mm"))
),
IF(
OR($C8="Saturday",$C8="Sunday"),
IF($J8-$I8&gt;=0,TEXT($J8-$I8,"[tt]:mm"),"-"&amp;TEXT(ABS($J8-$I8),"[tt]:mm")),
IFERROR(
IF($G8-$V$8=0,
IF($G8-$V$8&gt;=0,TEXT($G8-$V$8,"[tt]:mm"),"-"&amp;TEXT(ABS($G8-$V$8),"[tt]:mm")),
IF($J8-$I8&gt;=0,TEXT($J8-$I8,"[tt]:mm"),"-"&amp;TEXT(ABS($J8-$I8),"[tt]:mm"))
),
IF(
$J8-$I8-$V$8&gt;=0,
TEXT($J8-$I8-$V$8,"[tt]:mm"),
"-"&amp;TEXT(ABS($J8-$I8-$V$8),"[tt]:mm")
)
)
)
)
))</f>
        <v>0:00</v>
      </c>
      <c r="L8" s="94" t="str">
        <f t="shared" ref="L8:L37" si="3">LEFT(K8,1)</f>
        <v>0</v>
      </c>
      <c r="M8" s="95" t="str">
        <f t="shared" ref="M8:M37" si="4">IF($L8="-",LEFT($K8,3),LEFT($K8,2))</f>
        <v>0:</v>
      </c>
      <c r="N8" s="96" t="str">
        <f t="shared" ref="N8:N37" si="5">IF($L8="-",MID($K8,5,2),MID($K8,4,2))</f>
        <v>0</v>
      </c>
      <c r="O8" s="97">
        <f t="shared" ref="O8:O37" si="6">N8/60</f>
        <v>0</v>
      </c>
      <c r="P8" s="90">
        <f t="shared" ref="P8:P37" si="7">IF(L8="-",M8-O8,M8+O8)</f>
        <v>0</v>
      </c>
      <c r="Q8" s="69"/>
      <c r="U8" s="88" t="s">
        <v>43</v>
      </c>
      <c r="V8" s="89">
        <f>V7/24</f>
        <v>0.30833333333333335</v>
      </c>
    </row>
    <row r="9" spans="1:24" ht="15.75" x14ac:dyDescent="0.25">
      <c r="A9" s="98">
        <f t="shared" si="1"/>
        <v>40</v>
      </c>
      <c r="B9" s="99">
        <f t="shared" ref="B9:B37" si="8">B8+1</f>
        <v>45568</v>
      </c>
      <c r="C9" s="100" t="str" cm="1">
        <f t="array" ref="C9">_xlfn.SWITCH(WEEKDAY($D9, 2), 1, "Monday", 2, "Tuesday", 3, "Wednesday", 4, "Thursday", 5, "Friday", 6, "Saturday", 7, "Sunday")</f>
        <v>Thursday</v>
      </c>
      <c r="D9" s="88">
        <f t="shared" si="0"/>
        <v>5</v>
      </c>
      <c r="E9" s="92">
        <f t="shared" si="2"/>
        <v>45568</v>
      </c>
      <c r="F9" s="15" t="s">
        <v>21</v>
      </c>
      <c r="G9" s="87">
        <f>IFERROR(
    IF($F9="N", $V$8,
        IF(OR(
            AND(Masterdata!$B$4&lt;&gt;DATE(1900,1,0), Masterdata!$B$4&lt;$E9),
            AND(Masterdata!$B$3&lt;&gt;DATE(1900,1,0), Masterdata!$B$3&gt;$E9)
        ),
        IF($H9&gt;=TIME(0,0,0), "Write in the next field", 0),
        IF($H9&gt;=TIME(0,0,0), "Write in the next field",
            IF($H9&gt;=0, 0,
                IF(OR($C9="Saturday", $C9="Sunday"), 0, 0)
            )
        )
    )),
"Write in the next field")</f>
        <v>0.30833333333333335</v>
      </c>
      <c r="H9" s="16">
        <v>0</v>
      </c>
      <c r="I9" s="16">
        <v>0</v>
      </c>
      <c r="J9" s="16">
        <v>0</v>
      </c>
      <c r="K9" s="86" t="str">
        <f>IF(F9="N","0:00",IF(
OR(
AND(Masterdata!$B$4&lt;&gt;DATE(1900,1,0),Masterdata!$B$4&lt;$E9),
AND(Masterdata!$B$3&lt;&gt;DATE(1900,1,0),Masterdata!$B$3&gt;$E9)
),
"0:00",
IF(
$H9&gt;TIME(0,0,0),
IF(
OR($C9="Saturday",$C9="Sunday"),
TEXT($H9,"[tt]:mm"),
IF($H9-$V$8&gt;=0,TEXT($H9-$V$8,"[tt]:mm"),"-"&amp;TEXT(ABS($H9-$V$8),"[tt]:mm"))
),
IF(
OR($C9="Saturday",$C9="Sunday"),
IF($J9-$I9&gt;=0,TEXT($J9-$I9,"[tt]:mm"),"-"&amp;TEXT(ABS($J9-$I9),"[tt]:mm")),
IFERROR(
IF($G9-$V$8=0,
IF($G9-$V$8&gt;=0,TEXT($G9-$V$8,"[tt]:mm"),"-"&amp;TEXT(ABS($G9-$V$8),"[tt]:mm")),
IF($J9-$I9&gt;=0,TEXT($J9-$I9,"[tt]:mm"),"-"&amp;TEXT(ABS($J9-$I9),"[tt]:mm"))
),
IF(
$J9-$I9-$V$8&gt;=0,
TEXT($J9-$I9-$V$8,"[tt]:mm"),
"-"&amp;TEXT(ABS($J9-$I9-$V$8),"[tt]:mm")
)
)
)
)
))</f>
        <v>0:00</v>
      </c>
      <c r="L9" s="94" t="str">
        <f t="shared" si="3"/>
        <v>0</v>
      </c>
      <c r="M9" s="95" t="str">
        <f t="shared" si="4"/>
        <v>0:</v>
      </c>
      <c r="N9" s="96" t="str">
        <f t="shared" si="5"/>
        <v>0</v>
      </c>
      <c r="O9" s="97">
        <f t="shared" si="6"/>
        <v>0</v>
      </c>
      <c r="P9" s="90">
        <f t="shared" si="7"/>
        <v>0</v>
      </c>
      <c r="Q9" s="86"/>
      <c r="S9" s="88" t="s">
        <v>21</v>
      </c>
      <c r="T9" s="88" t="s">
        <v>44</v>
      </c>
      <c r="U9" s="88" t="s">
        <v>45</v>
      </c>
      <c r="V9" s="90">
        <f>(B1/37)*160.33</f>
        <v>160.33000000000001</v>
      </c>
    </row>
    <row r="10" spans="1:24" ht="15.75" x14ac:dyDescent="0.25">
      <c r="A10" s="98">
        <f t="shared" si="1"/>
        <v>40</v>
      </c>
      <c r="B10" s="99">
        <f t="shared" si="8"/>
        <v>45569</v>
      </c>
      <c r="C10" s="100" t="str" cm="1">
        <f t="array" ref="C10">_xlfn.SWITCH(WEEKDAY($D10, 2), 1, "Monday", 2, "Tuesday", 3, "Wednesday", 4, "Thursday", 5, "Friday", 6, "Saturday", 7, "Sunday")</f>
        <v>Friday</v>
      </c>
      <c r="D10" s="88">
        <f t="shared" si="0"/>
        <v>6</v>
      </c>
      <c r="E10" s="92">
        <f t="shared" si="2"/>
        <v>45569</v>
      </c>
      <c r="F10" s="15" t="s">
        <v>21</v>
      </c>
      <c r="G10" s="87">
        <f>IFERROR(
    IF($F10="N", $V$8,
        IF(OR(
            AND(Masterdata!$B$4&lt;&gt;DATE(1900,1,0), Masterdata!$B$4&lt;$E10),
            AND(Masterdata!$B$3&lt;&gt;DATE(1900,1,0), Masterdata!$B$3&gt;$E10)
        ),
        IF($H10&gt;=TIME(0,0,0), "Write in the next field", 0),
        IF($H10&gt;=TIME(0,0,0), "Write in the next field",
            IF($H10&gt;=0, 0,
                IF(OR($C10="Saturday", $C10="Sunday"), 0, 0)
            )
        )
    )),
"Write in the next field")</f>
        <v>0.30833333333333335</v>
      </c>
      <c r="H10" s="16">
        <v>0</v>
      </c>
      <c r="I10" s="16">
        <v>0</v>
      </c>
      <c r="J10" s="16">
        <v>0</v>
      </c>
      <c r="K10" s="86" t="str">
        <f>IF(F10="N","0:00",IF(
OR(
AND(Masterdata!$B$4&lt;&gt;DATE(1900,1,0),Masterdata!$B$4&lt;$E10),
AND(Masterdata!$B$3&lt;&gt;DATE(1900,1,0),Masterdata!$B$3&gt;$E10)
),
"0:00",
IF(
$H10&gt;TIME(0,0,0),
IF(
OR($C10="Saturday",$C10="Sunday"),
TEXT($H10,"[tt]:mm"),
IF($H10-$V$8&gt;=0,TEXT($H10-$V$8,"[tt]:mm"),"-"&amp;TEXT(ABS($H10-$V$8),"[tt]:mm"))
),
IF(
OR($C10="Saturday",$C10="Sunday"),
IF($J10-$I10&gt;=0,TEXT($J10-$I10,"[tt]:mm"),"-"&amp;TEXT(ABS($J10-$I10),"[tt]:mm")),
IFERROR(
IF($G10-$V$8=0,
IF($G10-$V$8&gt;=0,TEXT($G10-$V$8,"[tt]:mm"),"-"&amp;TEXT(ABS($G10-$V$8),"[tt]:mm")),
IF($J10-$I10&gt;=0,TEXT($J10-$I10,"[tt]:mm"),"-"&amp;TEXT(ABS($J10-$I10),"[tt]:mm"))
),
IF(
$J10-$I10-$V$8&gt;=0,
TEXT($J10-$I10-$V$8,"[tt]:mm"),
"-"&amp;TEXT(ABS($J10-$I10-$V$8),"[tt]:mm")
)
)
)
)
))</f>
        <v>0:00</v>
      </c>
      <c r="L10" s="94" t="str">
        <f t="shared" si="3"/>
        <v>0</v>
      </c>
      <c r="M10" s="95" t="str">
        <f t="shared" si="4"/>
        <v>0:</v>
      </c>
      <c r="N10" s="96" t="str">
        <f t="shared" si="5"/>
        <v>0</v>
      </c>
      <c r="O10" s="97">
        <f t="shared" si="6"/>
        <v>0</v>
      </c>
      <c r="P10" s="90">
        <f t="shared" si="7"/>
        <v>0</v>
      </c>
      <c r="Q10" s="69"/>
    </row>
    <row r="11" spans="1:24" ht="15.75" x14ac:dyDescent="0.25">
      <c r="A11" s="98">
        <f t="shared" si="1"/>
        <v>40</v>
      </c>
      <c r="B11" s="99">
        <f t="shared" si="8"/>
        <v>45570</v>
      </c>
      <c r="C11" s="100" t="str" cm="1">
        <f t="array" ref="C11">_xlfn.SWITCH(WEEKDAY($D11, 2), 1, "Monday", 2, "Tuesday", 3, "Wednesday", 4, "Thursday", 5, "Friday", 6, "Saturday", 7, "Sunday")</f>
        <v>Saturday</v>
      </c>
      <c r="D11" s="88">
        <f t="shared" si="0"/>
        <v>7</v>
      </c>
      <c r="E11" s="92">
        <f t="shared" si="2"/>
        <v>45570</v>
      </c>
      <c r="F11" s="15" t="s">
        <v>21</v>
      </c>
      <c r="G11" s="87">
        <f>IF($F11="N",0,"Tast i næste felt")</f>
        <v>0</v>
      </c>
      <c r="H11" s="16">
        <v>0</v>
      </c>
      <c r="I11" s="16">
        <v>0</v>
      </c>
      <c r="J11" s="16">
        <v>0</v>
      </c>
      <c r="K11" s="86" t="str">
        <f>IF(F11="N","0:00",IF(
OR(
AND(Masterdata!$B$4&lt;&gt;DATE(1900,1,0),Masterdata!$B$4&lt;$E11),
AND(Masterdata!$B$3&lt;&gt;DATE(1900,1,0),Masterdata!$B$3&gt;$E11)
),
"0:00",
IF(
$H11&gt;TIME(0,0,0),
IF(
OR($C11="Saturday",$C11="Sunday"),
TEXT($H11,"[tt]:mm"),
IF($H11-$V$8&gt;=0,TEXT($H11-$V$8,"[tt]:mm"),"-"&amp;TEXT(ABS($H11-$V$8),"[tt]:mm"))
),
IF(
OR($C11="Saturday",$C11="Sunday"),
IF($J11-$I11&gt;=0,TEXT($J11-$I11,"[tt]:mm"),"-"&amp;TEXT(ABS($J11-$I11),"[tt]:mm")),
IFERROR(
IF($G11-$V$8=0,
IF($G11-$V$8&gt;=0,TEXT($G11-$V$8,"[tt]:mm"),"-"&amp;TEXT(ABS($G11-$V$8),"[tt]:mm")),
IF($J11-$I11&gt;=0,TEXT($J11-$I11,"[tt]:mm"),"-"&amp;TEXT(ABS($J11-$I11),"[tt]:mm"))
),
IF(
$J11-$I11-$V$8&gt;=0,
TEXT($J11-$I11-$V$8,"[tt]:mm"),
"-"&amp;TEXT(ABS($J11-$I11-$V$8),"[tt]:mm")
)
)
)
)
))</f>
        <v>0:00</v>
      </c>
      <c r="L11" s="94" t="str">
        <f t="shared" si="3"/>
        <v>0</v>
      </c>
      <c r="M11" s="95" t="str">
        <f t="shared" si="4"/>
        <v>0:</v>
      </c>
      <c r="N11" s="96" t="str">
        <f t="shared" si="5"/>
        <v>0</v>
      </c>
      <c r="O11" s="97">
        <f t="shared" si="6"/>
        <v>0</v>
      </c>
      <c r="P11" s="90">
        <f t="shared" si="7"/>
        <v>0</v>
      </c>
      <c r="Q11" s="69"/>
      <c r="V11" s="90"/>
    </row>
    <row r="12" spans="1:24" ht="15.75" x14ac:dyDescent="0.25">
      <c r="A12" s="98">
        <f t="shared" si="1"/>
        <v>40</v>
      </c>
      <c r="B12" s="99">
        <f t="shared" si="8"/>
        <v>45571</v>
      </c>
      <c r="C12" s="100" t="str" cm="1">
        <f t="array" ref="C12">_xlfn.SWITCH(WEEKDAY($D12, 2), 1, "Monday", 2, "Tuesday", 3, "Wednesday", 4, "Thursday", 5, "Friday", 6, "Saturday", 7, "Sunday")</f>
        <v>Sunday</v>
      </c>
      <c r="D12" s="88">
        <f t="shared" si="0"/>
        <v>8</v>
      </c>
      <c r="E12" s="92">
        <f t="shared" si="2"/>
        <v>45571</v>
      </c>
      <c r="F12" s="15" t="s">
        <v>21</v>
      </c>
      <c r="G12" s="87">
        <f>IF($F12="N",0,"Tast i næste felt")</f>
        <v>0</v>
      </c>
      <c r="H12" s="16">
        <v>0</v>
      </c>
      <c r="I12" s="16">
        <v>0</v>
      </c>
      <c r="J12" s="16">
        <v>0</v>
      </c>
      <c r="K12" s="86" t="str">
        <f>IF(F12="N","0:00",IF(
OR(
AND(Masterdata!$B$4&lt;&gt;DATE(1900,1,0),Masterdata!$B$4&lt;$E12),
AND(Masterdata!$B$3&lt;&gt;DATE(1900,1,0),Masterdata!$B$3&gt;$E12)
),
"0:00",
IF(
$H12&gt;TIME(0,0,0),
IF(
OR($C12="Saturday",$C12="Sunday"),
TEXT($H12,"[tt]:mm"),
IF($H12-$V$8&gt;=0,TEXT($H12-$V$8,"[tt]:mm"),"-"&amp;TEXT(ABS($H12-$V$8),"[tt]:mm"))
),
IF(
OR($C12="Saturday",$C12="Sunday"),
IF($J12-$I12&gt;=0,TEXT($J12-$I12,"[tt]:mm"),"-"&amp;TEXT(ABS($J12-$I12),"[tt]:mm")),
IFERROR(
IF($G12-$V$8=0,
IF($G12-$V$8&gt;=0,TEXT($G12-$V$8,"[tt]:mm"),"-"&amp;TEXT(ABS($G12-$V$8),"[tt]:mm")),
IF($J12-$I12&gt;=0,TEXT($J12-$I12,"[tt]:mm"),"-"&amp;TEXT(ABS($J12-$I12),"[tt]:mm"))
),
IF(
$J12-$I12-$V$8&gt;=0,
TEXT($J12-$I12-$V$8,"[tt]:mm"),
"-"&amp;TEXT(ABS($J12-$I12-$V$8),"[tt]:mm")
)
)
)
)
))</f>
        <v>0:00</v>
      </c>
      <c r="L12" s="94" t="str">
        <f t="shared" si="3"/>
        <v>0</v>
      </c>
      <c r="M12" s="95" t="str">
        <f t="shared" si="4"/>
        <v>0:</v>
      </c>
      <c r="N12" s="96" t="str">
        <f t="shared" si="5"/>
        <v>0</v>
      </c>
      <c r="O12" s="97">
        <f t="shared" si="6"/>
        <v>0</v>
      </c>
      <c r="P12" s="90">
        <f t="shared" si="7"/>
        <v>0</v>
      </c>
      <c r="Q12" s="69"/>
      <c r="V12" s="91"/>
    </row>
    <row r="13" spans="1:24" ht="15.75" x14ac:dyDescent="0.25">
      <c r="A13" s="98">
        <f t="shared" si="1"/>
        <v>41</v>
      </c>
      <c r="B13" s="99">
        <f t="shared" si="8"/>
        <v>45572</v>
      </c>
      <c r="C13" s="100" t="str" cm="1">
        <f t="array" ref="C13">_xlfn.SWITCH(WEEKDAY($D13, 2), 1, "Monday", 2, "Tuesday", 3, "Wednesday", 4, "Thursday", 5, "Friday", 6, "Saturday", 7, "Sunday")</f>
        <v>Monday</v>
      </c>
      <c r="D13" s="88">
        <f t="shared" si="0"/>
        <v>2</v>
      </c>
      <c r="E13" s="92">
        <f t="shared" si="2"/>
        <v>45572</v>
      </c>
      <c r="F13" s="15" t="s">
        <v>21</v>
      </c>
      <c r="G13" s="87">
        <f>IFERROR(
    IF($F13="N", $V$8,
        IF(OR(
            AND(Masterdata!$B$4&lt;&gt;DATE(1900,1,0), Masterdata!$B$4&lt;$E13),
            AND(Masterdata!$B$3&lt;&gt;DATE(1900,1,0), Masterdata!$B$3&gt;$E13)
        ),
        IF($H13&gt;=TIME(0,0,0), "Write in the next field", 0),
        IF($H13&gt;=TIME(0,0,0), "Write in the next field",
            IF($H13&gt;=0, 0,
                IF(OR($C13="Saturday", $C13="Sunday"), 0, 0)
            )
        )
    )),
"Write in the next field")</f>
        <v>0.30833333333333335</v>
      </c>
      <c r="H13" s="16">
        <v>0</v>
      </c>
      <c r="I13" s="16">
        <v>0</v>
      </c>
      <c r="J13" s="16">
        <v>0</v>
      </c>
      <c r="K13" s="86" t="str">
        <f>IF(F13="N","0:00",IF(
OR(
AND(Masterdata!$B$4&lt;&gt;DATE(1900,1,0),Masterdata!$B$4&lt;$E13),
AND(Masterdata!$B$3&lt;&gt;DATE(1900,1,0),Masterdata!$B$3&gt;$E13)
),
"0:00",
IF(
$H13&gt;TIME(0,0,0),
IF(
OR($C13="Saturday",$C13="Sunday"),
TEXT($H13,"[tt]:mm"),
IF($H13-$V$8&gt;=0,TEXT($H13-$V$8,"[tt]:mm"),"-"&amp;TEXT(ABS($H13-$V$8),"[tt]:mm"))
),
IF(
OR($C13="Saturday",$C13="Sunday"),
IF($J13-$I13&gt;=0,TEXT($J13-$I13,"[tt]:mm"),"-"&amp;TEXT(ABS($J13-$I13),"[tt]:mm")),
IFERROR(
IF($G13-$V$8=0,
IF($G13-$V$8&gt;=0,TEXT($G13-$V$8,"[tt]:mm"),"-"&amp;TEXT(ABS($G13-$V$8),"[tt]:mm")),
IF($J13-$I13&gt;=0,TEXT($J13-$I13,"[tt]:mm"),"-"&amp;TEXT(ABS($J13-$I13),"[tt]:mm"))
),
IF(
$J13-$I13-$V$8&gt;=0,
TEXT($J13-$I13-$V$8,"[tt]:mm"),
"-"&amp;TEXT(ABS($J13-$I13-$V$8),"[tt]:mm")
)
)
)
)
))</f>
        <v>0:00</v>
      </c>
      <c r="L13" s="94" t="str">
        <f t="shared" si="3"/>
        <v>0</v>
      </c>
      <c r="M13" s="95" t="str">
        <f t="shared" si="4"/>
        <v>0:</v>
      </c>
      <c r="N13" s="96" t="str">
        <f t="shared" si="5"/>
        <v>0</v>
      </c>
      <c r="O13" s="97">
        <f t="shared" si="6"/>
        <v>0</v>
      </c>
      <c r="P13" s="90">
        <f t="shared" si="7"/>
        <v>0</v>
      </c>
      <c r="Q13" s="69"/>
    </row>
    <row r="14" spans="1:24" ht="15.75" x14ac:dyDescent="0.25">
      <c r="A14" s="98">
        <f t="shared" si="1"/>
        <v>41</v>
      </c>
      <c r="B14" s="99">
        <f t="shared" si="8"/>
        <v>45573</v>
      </c>
      <c r="C14" s="100" t="str" cm="1">
        <f t="array" ref="C14">_xlfn.SWITCH(WEEKDAY($D14, 2), 1, "Monday", 2, "Tuesday", 3, "Wednesday", 4, "Thursday", 5, "Friday", 6, "Saturday", 7, "Sunday")</f>
        <v>Tuesday</v>
      </c>
      <c r="D14" s="88">
        <f t="shared" si="0"/>
        <v>3</v>
      </c>
      <c r="E14" s="92">
        <f t="shared" si="2"/>
        <v>45573</v>
      </c>
      <c r="F14" s="15" t="s">
        <v>21</v>
      </c>
      <c r="G14" s="87">
        <f>IFERROR(
    IF($F14="N", $V$8,
        IF(OR(
            AND(Masterdata!$B$4&lt;&gt;DATE(1900,1,0), Masterdata!$B$4&lt;$E14),
            AND(Masterdata!$B$3&lt;&gt;DATE(1900,1,0), Masterdata!$B$3&gt;$E14)
        ),
        IF($H14&gt;=TIME(0,0,0), "Write in the next field", 0),
        IF($H14&gt;=TIME(0,0,0), "Write in the next field",
            IF($H14&gt;=0, 0,
                IF(OR($C14="Saturday", $C14="Sunday"), 0, 0)
            )
        )
    )),
"Write in the next field")</f>
        <v>0.30833333333333335</v>
      </c>
      <c r="H14" s="16">
        <v>0</v>
      </c>
      <c r="I14" s="16">
        <v>0</v>
      </c>
      <c r="J14" s="16">
        <v>0</v>
      </c>
      <c r="K14" s="86" t="str">
        <f>IF(F14="N","0:00",IF(
OR(
AND(Masterdata!$B$4&lt;&gt;DATE(1900,1,0),Masterdata!$B$4&lt;$E14),
AND(Masterdata!$B$3&lt;&gt;DATE(1900,1,0),Masterdata!$B$3&gt;$E14)
),
"0:00",
IF(
$H14&gt;TIME(0,0,0),
IF(
OR($C14="Saturday",$C14="Sunday"),
TEXT($H14,"[tt]:mm"),
IF($H14-$V$8&gt;=0,TEXT($H14-$V$8,"[tt]:mm"),"-"&amp;TEXT(ABS($H14-$V$8),"[tt]:mm"))
),
IF(
OR($C14="Saturday",$C14="Sunday"),
IF($J14-$I14&gt;=0,TEXT($J14-$I14,"[tt]:mm"),"-"&amp;TEXT(ABS($J14-$I14),"[tt]:mm")),
IFERROR(
IF($G14-$V$8=0,
IF($G14-$V$8&gt;=0,TEXT($G14-$V$8,"[tt]:mm"),"-"&amp;TEXT(ABS($G14-$V$8),"[tt]:mm")),
IF($J14-$I14&gt;=0,TEXT($J14-$I14,"[tt]:mm"),"-"&amp;TEXT(ABS($J14-$I14),"[tt]:mm"))
),
IF(
$J14-$I14-$V$8&gt;=0,
TEXT($J14-$I14-$V$8,"[tt]:mm"),
"-"&amp;TEXT(ABS($J14-$I14-$V$8),"[tt]:mm")
)
)
)
)
))</f>
        <v>0:00</v>
      </c>
      <c r="L14" s="94" t="str">
        <f t="shared" si="3"/>
        <v>0</v>
      </c>
      <c r="M14" s="95" t="str">
        <f t="shared" si="4"/>
        <v>0:</v>
      </c>
      <c r="N14" s="96" t="str">
        <f t="shared" si="5"/>
        <v>0</v>
      </c>
      <c r="O14" s="97">
        <f t="shared" si="6"/>
        <v>0</v>
      </c>
      <c r="P14" s="90">
        <f t="shared" si="7"/>
        <v>0</v>
      </c>
      <c r="Q14" s="69"/>
      <c r="S14" s="88" t="s">
        <v>46</v>
      </c>
      <c r="T14" s="88" t="s">
        <v>47</v>
      </c>
      <c r="U14" s="88" t="s">
        <v>48</v>
      </c>
      <c r="V14" s="90">
        <f>V9-V12</f>
        <v>160.33000000000001</v>
      </c>
    </row>
    <row r="15" spans="1:24" ht="15.75" x14ac:dyDescent="0.25">
      <c r="A15" s="98">
        <f t="shared" si="1"/>
        <v>41</v>
      </c>
      <c r="B15" s="99">
        <f t="shared" si="8"/>
        <v>45574</v>
      </c>
      <c r="C15" s="100" t="str" cm="1">
        <f t="array" ref="C15">_xlfn.SWITCH(WEEKDAY($D15, 2), 1, "Monday", 2, "Tuesday", 3, "Wednesday", 4, "Thursday", 5, "Friday", 6, "Saturday", 7, "Sunday")</f>
        <v>Wednesday</v>
      </c>
      <c r="D15" s="88">
        <f t="shared" si="0"/>
        <v>4</v>
      </c>
      <c r="E15" s="92">
        <f t="shared" si="2"/>
        <v>45574</v>
      </c>
      <c r="F15" s="15" t="s">
        <v>21</v>
      </c>
      <c r="G15" s="87">
        <f>IFERROR(
    IF($F15="N", $V$8,
        IF(OR(
            AND(Masterdata!$B$4&lt;&gt;DATE(1900,1,0), Masterdata!$B$4&lt;$E15),
            AND(Masterdata!$B$3&lt;&gt;DATE(1900,1,0), Masterdata!$B$3&gt;$E15)
        ),
        IF($H15&gt;=TIME(0,0,0), "Write in the next field", 0),
        IF($H15&gt;=TIME(0,0,0), "Write in the next field",
            IF($H15&gt;=0, 0,
                IF(OR($C15="Saturday", $C15="Sunday"), 0, 0)
            )
        )
    )),
"Write in the next field")</f>
        <v>0.30833333333333335</v>
      </c>
      <c r="H15" s="16">
        <v>0</v>
      </c>
      <c r="I15" s="16">
        <v>0</v>
      </c>
      <c r="J15" s="16">
        <v>0</v>
      </c>
      <c r="K15" s="86" t="str">
        <f>IF(F15="N","0:00",IF(
OR(
AND(Masterdata!$B$4&lt;&gt;DATE(1900,1,0),Masterdata!$B$4&lt;$E15),
AND(Masterdata!$B$3&lt;&gt;DATE(1900,1,0),Masterdata!$B$3&gt;$E15)
),
"0:00",
IF(
$H15&gt;TIME(0,0,0),
IF(
OR($C15="Saturday",$C15="Sunday"),
TEXT($H15,"[tt]:mm"),
IF($H15-$V$8&gt;=0,TEXT($H15-$V$8,"[tt]:mm"),"-"&amp;TEXT(ABS($H15-$V$8),"[tt]:mm"))
),
IF(
OR($C15="Saturday",$C15="Sunday"),
IF($J15-$I15&gt;=0,TEXT($J15-$I15,"[tt]:mm"),"-"&amp;TEXT(ABS($J15-$I15),"[tt]:mm")),
IFERROR(
IF($G15-$V$8=0,
IF($G15-$V$8&gt;=0,TEXT($G15-$V$8,"[tt]:mm"),"-"&amp;TEXT(ABS($G15-$V$8),"[tt]:mm")),
IF($J15-$I15&gt;=0,TEXT($J15-$I15,"[tt]:mm"),"-"&amp;TEXT(ABS($J15-$I15),"[tt]:mm"))
),
IF(
$J15-$I15-$V$8&gt;=0,
TEXT($J15-$I15-$V$8,"[tt]:mm"),
"-"&amp;TEXT(ABS($J15-$I15-$V$8),"[tt]:mm")
)
)
)
)
))</f>
        <v>0:00</v>
      </c>
      <c r="L15" s="94" t="str">
        <f t="shared" si="3"/>
        <v>0</v>
      </c>
      <c r="M15" s="95" t="str">
        <f t="shared" si="4"/>
        <v>0:</v>
      </c>
      <c r="N15" s="96" t="str">
        <f t="shared" si="5"/>
        <v>0</v>
      </c>
      <c r="O15" s="97">
        <f t="shared" si="6"/>
        <v>0</v>
      </c>
      <c r="P15" s="90">
        <f t="shared" si="7"/>
        <v>0</v>
      </c>
      <c r="Q15" s="69"/>
      <c r="S15" s="88" t="s">
        <v>49</v>
      </c>
      <c r="T15" s="88" t="s">
        <v>50</v>
      </c>
      <c r="U15" s="88" t="s">
        <v>51</v>
      </c>
      <c r="V15" s="90" t="e">
        <f>SUM(#REF!)</f>
        <v>#REF!</v>
      </c>
    </row>
    <row r="16" spans="1:24" ht="15.75" x14ac:dyDescent="0.25">
      <c r="A16" s="98">
        <f t="shared" si="1"/>
        <v>41</v>
      </c>
      <c r="B16" s="99">
        <f t="shared" si="8"/>
        <v>45575</v>
      </c>
      <c r="C16" s="100" t="str" cm="1">
        <f t="array" ref="C16">_xlfn.SWITCH(WEEKDAY($D16, 2), 1, "Monday", 2, "Tuesday", 3, "Wednesday", 4, "Thursday", 5, "Friday", 6, "Saturday", 7, "Sunday")</f>
        <v>Thursday</v>
      </c>
      <c r="D16" s="88">
        <f t="shared" si="0"/>
        <v>5</v>
      </c>
      <c r="E16" s="92">
        <f t="shared" si="2"/>
        <v>45575</v>
      </c>
      <c r="F16" s="15" t="s">
        <v>21</v>
      </c>
      <c r="G16" s="87">
        <f>IFERROR(
    IF($F16="N", $V$8,
        IF(OR(
            AND(Masterdata!$B$4&lt;&gt;DATE(1900,1,0), Masterdata!$B$4&lt;$E16),
            AND(Masterdata!$B$3&lt;&gt;DATE(1900,1,0), Masterdata!$B$3&gt;$E16)
        ),
        IF($H16&gt;=TIME(0,0,0), "Write in the next field", 0),
        IF($H16&gt;=TIME(0,0,0), "Write in the next field",
            IF($H16&gt;=0, 0,
                IF(OR($C16="Saturday", $C16="Sunday"), 0, 0)
            )
        )
    )),
"Write in the next field")</f>
        <v>0.30833333333333335</v>
      </c>
      <c r="H16" s="16">
        <v>0</v>
      </c>
      <c r="I16" s="16">
        <v>0</v>
      </c>
      <c r="J16" s="16">
        <v>0</v>
      </c>
      <c r="K16" s="86" t="str">
        <f>IF(F16="N","0:00",IF(
OR(
AND(Masterdata!$B$4&lt;&gt;DATE(1900,1,0),Masterdata!$B$4&lt;$E16),
AND(Masterdata!$B$3&lt;&gt;DATE(1900,1,0),Masterdata!$B$3&gt;$E16)
),
"0:00",
IF(
$H16&gt;TIME(0,0,0),
IF(
OR($C16="Saturday",$C16="Sunday"),
TEXT($H16,"[tt]:mm"),
IF($H16-$V$8&gt;=0,TEXT($H16-$V$8,"[tt]:mm"),"-"&amp;TEXT(ABS($H16-$V$8),"[tt]:mm"))
),
IF(
OR($C16="Saturday",$C16="Sunday"),
IF($J16-$I16&gt;=0,TEXT($J16-$I16,"[tt]:mm"),"-"&amp;TEXT(ABS($J16-$I16),"[tt]:mm")),
IFERROR(
IF($G16-$V$8=0,
IF($G16-$V$8&gt;=0,TEXT($G16-$V$8,"[tt]:mm"),"-"&amp;TEXT(ABS($G16-$V$8),"[tt]:mm")),
IF($J16-$I16&gt;=0,TEXT($J16-$I16,"[tt]:mm"),"-"&amp;TEXT(ABS($J16-$I16),"[tt]:mm"))
),
IF(
$J16-$I16-$V$8&gt;=0,
TEXT($J16-$I16-$V$8,"[tt]:mm"),
"-"&amp;TEXT(ABS($J16-$I16-$V$8),"[tt]:mm")
)
)
)
)
))</f>
        <v>0:00</v>
      </c>
      <c r="L16" s="94" t="str">
        <f t="shared" si="3"/>
        <v>0</v>
      </c>
      <c r="M16" s="95" t="str">
        <f t="shared" si="4"/>
        <v>0:</v>
      </c>
      <c r="N16" s="96" t="str">
        <f t="shared" si="5"/>
        <v>0</v>
      </c>
      <c r="O16" s="97">
        <f t="shared" si="6"/>
        <v>0</v>
      </c>
      <c r="P16" s="90">
        <f t="shared" si="7"/>
        <v>0</v>
      </c>
      <c r="Q16" s="69"/>
      <c r="S16" s="88" t="s">
        <v>23</v>
      </c>
      <c r="T16" s="88" t="s">
        <v>52</v>
      </c>
      <c r="U16" s="88" t="s">
        <v>53</v>
      </c>
      <c r="V16" s="90" t="e">
        <f>V14-V15</f>
        <v>#REF!</v>
      </c>
    </row>
    <row r="17" spans="1:21" ht="15.75" x14ac:dyDescent="0.25">
      <c r="A17" s="98">
        <f t="shared" si="1"/>
        <v>41</v>
      </c>
      <c r="B17" s="99">
        <f t="shared" si="8"/>
        <v>45576</v>
      </c>
      <c r="C17" s="100" t="str" cm="1">
        <f t="array" ref="C17">_xlfn.SWITCH(WEEKDAY($D17, 2), 1, "Monday", 2, "Tuesday", 3, "Wednesday", 4, "Thursday", 5, "Friday", 6, "Saturday", 7, "Sunday")</f>
        <v>Friday</v>
      </c>
      <c r="D17" s="88">
        <f t="shared" si="0"/>
        <v>6</v>
      </c>
      <c r="E17" s="92">
        <f t="shared" si="2"/>
        <v>45576</v>
      </c>
      <c r="F17" s="15" t="s">
        <v>21</v>
      </c>
      <c r="G17" s="87">
        <f>IFERROR(
    IF($F17="N", $V$8,
        IF(OR(
            AND(Masterdata!$B$4&lt;&gt;DATE(1900,1,0), Masterdata!$B$4&lt;$E17),
            AND(Masterdata!$B$3&lt;&gt;DATE(1900,1,0), Masterdata!$B$3&gt;$E17)
        ),
        IF($H17&gt;=TIME(0,0,0), "Write in the next field", 0),
        IF($H17&gt;=TIME(0,0,0), "Write in the next field",
            IF($H17&gt;=0, 0,
                IF(OR($C17="Saturday", $C17="Sunday"), 0, 0)
            )
        )
    )),
"Write in the next field")</f>
        <v>0.30833333333333335</v>
      </c>
      <c r="H17" s="16">
        <v>0</v>
      </c>
      <c r="I17" s="16">
        <v>0</v>
      </c>
      <c r="J17" s="16">
        <v>0</v>
      </c>
      <c r="K17" s="86" t="str">
        <f>IF(F17="N","0:00",IF(
OR(
AND(Masterdata!$B$4&lt;&gt;DATE(1900,1,0),Masterdata!$B$4&lt;$E17),
AND(Masterdata!$B$3&lt;&gt;DATE(1900,1,0),Masterdata!$B$3&gt;$E17)
),
"0:00",
IF(
$H17&gt;TIME(0,0,0),
IF(
OR($C17="Saturday",$C17="Sunday"),
TEXT($H17,"[tt]:mm"),
IF($H17-$V$8&gt;=0,TEXT($H17-$V$8,"[tt]:mm"),"-"&amp;TEXT(ABS($H17-$V$8),"[tt]:mm"))
),
IF(
OR($C17="Saturday",$C17="Sunday"),
IF($J17-$I17&gt;=0,TEXT($J17-$I17,"[tt]:mm"),"-"&amp;TEXT(ABS($J17-$I17),"[tt]:mm")),
IFERROR(
IF($G17-$V$8=0,
IF($G17-$V$8&gt;=0,TEXT($G17-$V$8,"[tt]:mm"),"-"&amp;TEXT(ABS($G17-$V$8),"[tt]:mm")),
IF($J17-$I17&gt;=0,TEXT($J17-$I17,"[tt]:mm"),"-"&amp;TEXT(ABS($J17-$I17),"[tt]:mm"))
),
IF(
$J17-$I17-$V$8&gt;=0,
TEXT($J17-$I17-$V$8,"[tt]:mm"),
"-"&amp;TEXT(ABS($J17-$I17-$V$8),"[tt]:mm")
)
)
)
)
))</f>
        <v>0:00</v>
      </c>
      <c r="L17" s="94" t="str">
        <f t="shared" si="3"/>
        <v>0</v>
      </c>
      <c r="M17" s="95" t="str">
        <f t="shared" si="4"/>
        <v>0:</v>
      </c>
      <c r="N17" s="96" t="str">
        <f t="shared" si="5"/>
        <v>0</v>
      </c>
      <c r="O17" s="97">
        <f t="shared" si="6"/>
        <v>0</v>
      </c>
      <c r="P17" s="90">
        <f t="shared" si="7"/>
        <v>0</v>
      </c>
      <c r="Q17" s="69"/>
      <c r="U17" s="92"/>
    </row>
    <row r="18" spans="1:21" ht="15.75" x14ac:dyDescent="0.25">
      <c r="A18" s="98">
        <f t="shared" si="1"/>
        <v>41</v>
      </c>
      <c r="B18" s="99">
        <f t="shared" si="8"/>
        <v>45577</v>
      </c>
      <c r="C18" s="100" t="str" cm="1">
        <f t="array" ref="C18">_xlfn.SWITCH(WEEKDAY($D18, 2), 1, "Monday", 2, "Tuesday", 3, "Wednesday", 4, "Thursday", 5, "Friday", 6, "Saturday", 7, "Sunday")</f>
        <v>Saturday</v>
      </c>
      <c r="D18" s="88">
        <f t="shared" si="0"/>
        <v>7</v>
      </c>
      <c r="E18" s="92">
        <f t="shared" si="2"/>
        <v>45577</v>
      </c>
      <c r="F18" s="15" t="s">
        <v>21</v>
      </c>
      <c r="G18" s="87">
        <f>IF($F18="N",0,"Write in the next field")</f>
        <v>0</v>
      </c>
      <c r="H18" s="16">
        <v>0</v>
      </c>
      <c r="I18" s="16">
        <v>0</v>
      </c>
      <c r="J18" s="16">
        <v>0</v>
      </c>
      <c r="K18" s="86" t="str">
        <f>IF(F18="N","0:00",IF(
OR(
AND(Masterdata!$B$4&lt;&gt;DATE(1900,1,0),Masterdata!$B$4&lt;$E18),
AND(Masterdata!$B$3&lt;&gt;DATE(1900,1,0),Masterdata!$B$3&gt;$E18)
),
"0:00",
IF(
$H18&gt;TIME(0,0,0),
IF(
OR($C18="Saturday",$C18="Sunday"),
TEXT($H18,"[tt]:mm"),
IF($H18-$V$8&gt;=0,TEXT($H18-$V$8,"[tt]:mm"),"-"&amp;TEXT(ABS($H18-$V$8),"[tt]:mm"))
),
IF(
OR($C18="Saturday",$C18="Sunday"),
IF($J18-$I18&gt;=0,TEXT($J18-$I18,"[tt]:mm"),"-"&amp;TEXT(ABS($J18-$I18),"[tt]:mm")),
IFERROR(
IF($G18-$V$8=0,
IF($G18-$V$8&gt;=0,TEXT($G18-$V$8,"[tt]:mm"),"-"&amp;TEXT(ABS($G18-$V$8),"[tt]:mm")),
IF($J18-$I18&gt;=0,TEXT($J18-$I18,"[tt]:mm"),"-"&amp;TEXT(ABS($J18-$I18),"[tt]:mm"))
),
IF(
$J18-$I18-$V$8&gt;=0,
TEXT($J18-$I18-$V$8,"[tt]:mm"),
"-"&amp;TEXT(ABS($J18-$I18-$V$8),"[tt]:mm")
)
)
)
)
))</f>
        <v>0:00</v>
      </c>
      <c r="L18" s="94" t="str">
        <f t="shared" si="3"/>
        <v>0</v>
      </c>
      <c r="M18" s="95" t="str">
        <f t="shared" si="4"/>
        <v>0:</v>
      </c>
      <c r="N18" s="96" t="str">
        <f t="shared" si="5"/>
        <v>0</v>
      </c>
      <c r="O18" s="97">
        <f t="shared" si="6"/>
        <v>0</v>
      </c>
      <c r="P18" s="90">
        <f t="shared" si="7"/>
        <v>0</v>
      </c>
      <c r="Q18" s="69"/>
      <c r="R18" s="93"/>
    </row>
    <row r="19" spans="1:21" ht="15.75" x14ac:dyDescent="0.25">
      <c r="A19" s="98">
        <f t="shared" si="1"/>
        <v>41</v>
      </c>
      <c r="B19" s="99">
        <f t="shared" si="8"/>
        <v>45578</v>
      </c>
      <c r="C19" s="100" t="str" cm="1">
        <f t="array" ref="C19">_xlfn.SWITCH(WEEKDAY($D19, 2), 1, "Monday", 2, "Tuesday", 3, "Wednesday", 4, "Thursday", 5, "Friday", 6, "Saturday", 7, "Sunday")</f>
        <v>Sunday</v>
      </c>
      <c r="D19" s="88">
        <f t="shared" si="0"/>
        <v>8</v>
      </c>
      <c r="E19" s="92">
        <f t="shared" si="2"/>
        <v>45578</v>
      </c>
      <c r="F19" s="15" t="s">
        <v>21</v>
      </c>
      <c r="G19" s="87">
        <f>IF($F19="N",0,"Write in the next field")</f>
        <v>0</v>
      </c>
      <c r="H19" s="16">
        <v>0</v>
      </c>
      <c r="I19" s="16">
        <v>0</v>
      </c>
      <c r="J19" s="16">
        <v>0</v>
      </c>
      <c r="K19" s="86" t="str">
        <f>IF(F19="N","0:00",IF(
OR(
AND(Masterdata!$B$4&lt;&gt;DATE(1900,1,0),Masterdata!$B$4&lt;$E19),
AND(Masterdata!$B$3&lt;&gt;DATE(1900,1,0),Masterdata!$B$3&gt;$E19)
),
"0:00",
IF(
$H19&gt;TIME(0,0,0),
IF(
OR($C19="Saturday",$C19="Sunday"),
TEXT($H19,"[tt]:mm"),
IF($H19-$V$8&gt;=0,TEXT($H19-$V$8,"[tt]:mm"),"-"&amp;TEXT(ABS($H19-$V$8),"[tt]:mm"))
),
IF(
OR($C19="Saturday",$C19="Sunday"),
IF($J19-$I19&gt;=0,TEXT($J19-$I19,"[tt]:mm"),"-"&amp;TEXT(ABS($J19-$I19),"[tt]:mm")),
IFERROR(
IF($G19-$V$8=0,
IF($G19-$V$8&gt;=0,TEXT($G19-$V$8,"[tt]:mm"),"-"&amp;TEXT(ABS($G19-$V$8),"[tt]:mm")),
IF($J19-$I19&gt;=0,TEXT($J19-$I19,"[tt]:mm"),"-"&amp;TEXT(ABS($J19-$I19),"[tt]:mm"))
),
IF(
$J19-$I19-$V$8&gt;=0,
TEXT($J19-$I19-$V$8,"[tt]:mm"),
"-"&amp;TEXT(ABS($J19-$I19-$V$8),"[tt]:mm")
)
)
)
)
))</f>
        <v>0:00</v>
      </c>
      <c r="L19" s="94" t="str">
        <f t="shared" si="3"/>
        <v>0</v>
      </c>
      <c r="M19" s="95" t="str">
        <f t="shared" si="4"/>
        <v>0:</v>
      </c>
      <c r="N19" s="96" t="str">
        <f t="shared" si="5"/>
        <v>0</v>
      </c>
      <c r="O19" s="97">
        <f t="shared" si="6"/>
        <v>0</v>
      </c>
      <c r="P19" s="90">
        <f t="shared" si="7"/>
        <v>0</v>
      </c>
      <c r="Q19" s="69"/>
    </row>
    <row r="20" spans="1:21" ht="15.75" x14ac:dyDescent="0.25">
      <c r="A20" s="98">
        <f t="shared" si="1"/>
        <v>42</v>
      </c>
      <c r="B20" s="99">
        <f t="shared" si="8"/>
        <v>45579</v>
      </c>
      <c r="C20" s="100" t="str" cm="1">
        <f t="array" ref="C20">_xlfn.SWITCH(WEEKDAY($D20, 2), 1, "Monday", 2, "Tuesday", 3, "Wednesday", 4, "Thursday", 5, "Friday", 6, "Saturday", 7, "Sunday")</f>
        <v>Monday</v>
      </c>
      <c r="D20" s="88">
        <f t="shared" si="0"/>
        <v>2</v>
      </c>
      <c r="E20" s="92">
        <f t="shared" si="2"/>
        <v>45579</v>
      </c>
      <c r="F20" s="15" t="s">
        <v>21</v>
      </c>
      <c r="G20" s="87">
        <f>IFERROR(
    IF($F20="N", $V$8,
        IF(OR(
            AND(Masterdata!$B$4&lt;&gt;DATE(1900,1,0), Masterdata!$B$4&lt;$E20),
            AND(Masterdata!$B$3&lt;&gt;DATE(1900,1,0), Masterdata!$B$3&gt;$E20)
        ),
        IF($H20&gt;=TIME(0,0,0), "Write in the next field", 0),
        IF($H20&gt;=TIME(0,0,0), "Write in the next field",
            IF($H20&gt;=0, 0,
                IF(OR($C20="Saturday", $C20="Sunday"), 0, 0)
            )
        )
    )),
"Write in the next field")</f>
        <v>0.30833333333333335</v>
      </c>
      <c r="H20" s="16">
        <v>0</v>
      </c>
      <c r="I20" s="16">
        <v>0</v>
      </c>
      <c r="J20" s="16">
        <v>0</v>
      </c>
      <c r="K20" s="86" t="str">
        <f>IF(F20="N","0:00",IF(
OR(
AND(Masterdata!$B$4&lt;&gt;DATE(1900,1,0),Masterdata!$B$4&lt;$E20),
AND(Masterdata!$B$3&lt;&gt;DATE(1900,1,0),Masterdata!$B$3&gt;$E20)
),
"0:00",
IF(
$H20&gt;TIME(0,0,0),
IF(
OR($C20="Saturday",$C20="Sunday"),
TEXT($H20,"[tt]:mm"),
IF($H20-$V$8&gt;=0,TEXT($H20-$V$8,"[tt]:mm"),"-"&amp;TEXT(ABS($H20-$V$8),"[tt]:mm"))
),
IF(
OR($C20="Saturday",$C20="Sunday"),
IF($J20-$I20&gt;=0,TEXT($J20-$I20,"[tt]:mm"),"-"&amp;TEXT(ABS($J20-$I20),"[tt]:mm")),
IFERROR(
IF($G20-$V$8=0,
IF($G20-$V$8&gt;=0,TEXT($G20-$V$8,"[tt]:mm"),"-"&amp;TEXT(ABS($G20-$V$8),"[tt]:mm")),
IF($J20-$I20&gt;=0,TEXT($J20-$I20,"[tt]:mm"),"-"&amp;TEXT(ABS($J20-$I20),"[tt]:mm"))
),
IF(
$J20-$I20-$V$8&gt;=0,
TEXT($J20-$I20-$V$8,"[tt]:mm"),
"-"&amp;TEXT(ABS($J20-$I20-$V$8),"[tt]:mm")
)
)
)
)
))</f>
        <v>0:00</v>
      </c>
      <c r="L20" s="94" t="str">
        <f t="shared" si="3"/>
        <v>0</v>
      </c>
      <c r="M20" s="95" t="str">
        <f t="shared" si="4"/>
        <v>0:</v>
      </c>
      <c r="N20" s="96" t="str">
        <f t="shared" si="5"/>
        <v>0</v>
      </c>
      <c r="O20" s="97">
        <f t="shared" si="6"/>
        <v>0</v>
      </c>
      <c r="P20" s="90">
        <f t="shared" si="7"/>
        <v>0</v>
      </c>
      <c r="Q20" s="69"/>
    </row>
    <row r="21" spans="1:21" ht="15.75" x14ac:dyDescent="0.25">
      <c r="A21" s="98">
        <f t="shared" si="1"/>
        <v>42</v>
      </c>
      <c r="B21" s="99">
        <f t="shared" si="8"/>
        <v>45580</v>
      </c>
      <c r="C21" s="100" t="str" cm="1">
        <f t="array" ref="C21">_xlfn.SWITCH(WEEKDAY($D21, 2), 1, "Monday", 2, "Tuesday", 3, "Wednesday", 4, "Thursday", 5, "Friday", 6, "Saturday", 7, "Sunday")</f>
        <v>Tuesday</v>
      </c>
      <c r="D21" s="88">
        <f t="shared" si="0"/>
        <v>3</v>
      </c>
      <c r="E21" s="92">
        <f t="shared" si="2"/>
        <v>45580</v>
      </c>
      <c r="F21" s="15" t="s">
        <v>21</v>
      </c>
      <c r="G21" s="87">
        <f>IFERROR(
    IF($F21="N", $V$8,
        IF(OR(
            AND(Masterdata!$B$4&lt;&gt;DATE(1900,1,0), Masterdata!$B$4&lt;$E21),
            AND(Masterdata!$B$3&lt;&gt;DATE(1900,1,0), Masterdata!$B$3&gt;$E21)
        ),
        IF($H21&gt;=TIME(0,0,0), "Write in the next field", 0),
        IF($H21&gt;=TIME(0,0,0), "Write in the next field",
            IF($H21&gt;=0, 0,
                IF(OR($C21="Saturday", $C21="Sunday"), 0, 0)
            )
        )
    )),
"Write in the next field")</f>
        <v>0.30833333333333335</v>
      </c>
      <c r="H21" s="16">
        <v>0</v>
      </c>
      <c r="I21" s="16">
        <v>0</v>
      </c>
      <c r="J21" s="16">
        <v>0</v>
      </c>
      <c r="K21" s="86" t="str">
        <f>IF(F21="N","0:00",IF(
OR(
AND(Masterdata!$B$4&lt;&gt;DATE(1900,1,0),Masterdata!$B$4&lt;$E21),
AND(Masterdata!$B$3&lt;&gt;DATE(1900,1,0),Masterdata!$B$3&gt;$E21)
),
"0:00",
IF(
$H21&gt;TIME(0,0,0),
IF(
OR($C21="Saturday",$C21="Sunday"),
TEXT($H21,"[tt]:mm"),
IF($H21-$V$8&gt;=0,TEXT($H21-$V$8,"[tt]:mm"),"-"&amp;TEXT(ABS($H21-$V$8),"[tt]:mm"))
),
IF(
OR($C21="Saturday",$C21="Sunday"),
IF($J21-$I21&gt;=0,TEXT($J21-$I21,"[tt]:mm"),"-"&amp;TEXT(ABS($J21-$I21),"[tt]:mm")),
IFERROR(
IF($G21-$V$8=0,
IF($G21-$V$8&gt;=0,TEXT($G21-$V$8,"[tt]:mm"),"-"&amp;TEXT(ABS($G21-$V$8),"[tt]:mm")),
IF($J21-$I21&gt;=0,TEXT($J21-$I21,"[tt]:mm"),"-"&amp;TEXT(ABS($J21-$I21),"[tt]:mm"))
),
IF(
$J21-$I21-$V$8&gt;=0,
TEXT($J21-$I21-$V$8,"[tt]:mm"),
"-"&amp;TEXT(ABS($J21-$I21-$V$8),"[tt]:mm")
)
)
)
)
))</f>
        <v>0:00</v>
      </c>
      <c r="L21" s="94" t="str">
        <f t="shared" si="3"/>
        <v>0</v>
      </c>
      <c r="M21" s="95" t="str">
        <f t="shared" si="4"/>
        <v>0:</v>
      </c>
      <c r="N21" s="96" t="str">
        <f t="shared" si="5"/>
        <v>0</v>
      </c>
      <c r="O21" s="97">
        <f t="shared" si="6"/>
        <v>0</v>
      </c>
      <c r="P21" s="90">
        <f t="shared" si="7"/>
        <v>0</v>
      </c>
      <c r="Q21" s="69"/>
    </row>
    <row r="22" spans="1:21" ht="15.75" x14ac:dyDescent="0.25">
      <c r="A22" s="98">
        <f t="shared" si="1"/>
        <v>42</v>
      </c>
      <c r="B22" s="99">
        <f t="shared" si="8"/>
        <v>45581</v>
      </c>
      <c r="C22" s="100" t="str" cm="1">
        <f t="array" ref="C22">_xlfn.SWITCH(WEEKDAY($D22, 2), 1, "Monday", 2, "Tuesday", 3, "Wednesday", 4, "Thursday", 5, "Friday", 6, "Saturday", 7, "Sunday")</f>
        <v>Wednesday</v>
      </c>
      <c r="D22" s="88">
        <f t="shared" si="0"/>
        <v>4</v>
      </c>
      <c r="E22" s="92">
        <f t="shared" si="2"/>
        <v>45581</v>
      </c>
      <c r="F22" s="15" t="s">
        <v>21</v>
      </c>
      <c r="G22" s="87">
        <f>IFERROR(
    IF($F22="N", $V$8,
        IF(OR(
            AND(Masterdata!$B$4&lt;&gt;DATE(1900,1,0), Masterdata!$B$4&lt;$E22),
            AND(Masterdata!$B$3&lt;&gt;DATE(1900,1,0), Masterdata!$B$3&gt;$E22)
        ),
        IF($H22&gt;=TIME(0,0,0), "Write in the next field", 0),
        IF($H22&gt;=TIME(0,0,0), "Write in the next field",
            IF($H22&gt;=0, 0,
                IF(OR($C22="Saturday", $C22="Sunday"), 0, 0)
            )
        )
    )),
"Write in the next field")</f>
        <v>0.30833333333333335</v>
      </c>
      <c r="H22" s="16">
        <v>0</v>
      </c>
      <c r="I22" s="16">
        <v>0</v>
      </c>
      <c r="J22" s="16">
        <v>0</v>
      </c>
      <c r="K22" s="86" t="str">
        <f>IF(F22="N","0:00",IF(
OR(
AND(Masterdata!$B$4&lt;&gt;DATE(1900,1,0),Masterdata!$B$4&lt;$E22),
AND(Masterdata!$B$3&lt;&gt;DATE(1900,1,0),Masterdata!$B$3&gt;$E22)
),
"0:00",
IF(
$H22&gt;TIME(0,0,0),
IF(
OR($C22="Saturday",$C22="Sunday"),
TEXT($H22,"[tt]:mm"),
IF($H22-$V$8&gt;=0,TEXT($H22-$V$8,"[tt]:mm"),"-"&amp;TEXT(ABS($H22-$V$8),"[tt]:mm"))
),
IF(
OR($C22="Saturday",$C22="Sunday"),
IF($J22-$I22&gt;=0,TEXT($J22-$I22,"[tt]:mm"),"-"&amp;TEXT(ABS($J22-$I22),"[tt]:mm")),
IFERROR(
IF($G22-$V$8=0,
IF($G22-$V$8&gt;=0,TEXT($G22-$V$8,"[tt]:mm"),"-"&amp;TEXT(ABS($G22-$V$8),"[tt]:mm")),
IF($J22-$I22&gt;=0,TEXT($J22-$I22,"[tt]:mm"),"-"&amp;TEXT(ABS($J22-$I22),"[tt]:mm"))
),
IF(
$J22-$I22-$V$8&gt;=0,
TEXT($J22-$I22-$V$8,"[tt]:mm"),
"-"&amp;TEXT(ABS($J22-$I22-$V$8),"[tt]:mm")
)
)
)
)
))</f>
        <v>0:00</v>
      </c>
      <c r="L22" s="94" t="str">
        <f t="shared" si="3"/>
        <v>0</v>
      </c>
      <c r="M22" s="95" t="str">
        <f t="shared" si="4"/>
        <v>0:</v>
      </c>
      <c r="N22" s="96" t="str">
        <f t="shared" si="5"/>
        <v>0</v>
      </c>
      <c r="O22" s="97">
        <f t="shared" si="6"/>
        <v>0</v>
      </c>
      <c r="P22" s="90">
        <f t="shared" si="7"/>
        <v>0</v>
      </c>
      <c r="Q22" s="69"/>
    </row>
    <row r="23" spans="1:21" ht="15.75" x14ac:dyDescent="0.25">
      <c r="A23" s="98">
        <f t="shared" si="1"/>
        <v>42</v>
      </c>
      <c r="B23" s="99">
        <f t="shared" si="8"/>
        <v>45582</v>
      </c>
      <c r="C23" s="100" t="str" cm="1">
        <f t="array" ref="C23">_xlfn.SWITCH(WEEKDAY($D23, 2), 1, "Monday", 2, "Tuesday", 3, "Wednesday", 4, "Thursday", 5, "Friday", 6, "Saturday", 7, "Sunday")</f>
        <v>Thursday</v>
      </c>
      <c r="D23" s="88">
        <f t="shared" si="0"/>
        <v>5</v>
      </c>
      <c r="E23" s="92">
        <f t="shared" si="2"/>
        <v>45582</v>
      </c>
      <c r="F23" s="15" t="s">
        <v>21</v>
      </c>
      <c r="G23" s="87">
        <f>IFERROR(
    IF($F23="N", $V$8,
        IF(OR(
            AND(Masterdata!$B$4&lt;&gt;DATE(1900,1,0), Masterdata!$B$4&lt;$E23),
            AND(Masterdata!$B$3&lt;&gt;DATE(1900,1,0), Masterdata!$B$3&gt;$E23)
        ),
        IF($H23&gt;=TIME(0,0,0), "Write in the next field", 0),
        IF($H23&gt;=TIME(0,0,0), "Write in the next field",
            IF($H23&gt;=0, 0,
                IF(OR($C23="Saturday", $C23="Sunday"), 0, 0)
            )
        )
    )),
"Write in the next field")</f>
        <v>0.30833333333333335</v>
      </c>
      <c r="H23" s="16">
        <v>0</v>
      </c>
      <c r="I23" s="16">
        <v>0</v>
      </c>
      <c r="J23" s="16">
        <v>0</v>
      </c>
      <c r="K23" s="86" t="str">
        <f>IF(F23="N","0:00",IF(
OR(
AND(Masterdata!$B$4&lt;&gt;DATE(1900,1,0),Masterdata!$B$4&lt;$E23),
AND(Masterdata!$B$3&lt;&gt;DATE(1900,1,0),Masterdata!$B$3&gt;$E23)
),
"0:00",
IF(
$H23&gt;TIME(0,0,0),
IF(
OR($C23="Saturday",$C23="Sunday"),
TEXT($H23,"[tt]:mm"),
IF($H23-$V$8&gt;=0,TEXT($H23-$V$8,"[tt]:mm"),"-"&amp;TEXT(ABS($H23-$V$8),"[tt]:mm"))
),
IF(
OR($C23="Saturday",$C23="Sunday"),
IF($J23-$I23&gt;=0,TEXT($J23-$I23,"[tt]:mm"),"-"&amp;TEXT(ABS($J23-$I23),"[tt]:mm")),
IFERROR(
IF($G23-$V$8=0,
IF($G23-$V$8&gt;=0,TEXT($G23-$V$8,"[tt]:mm"),"-"&amp;TEXT(ABS($G23-$V$8),"[tt]:mm")),
IF($J23-$I23&gt;=0,TEXT($J23-$I23,"[tt]:mm"),"-"&amp;TEXT(ABS($J23-$I23),"[tt]:mm"))
),
IF(
$J23-$I23-$V$8&gt;=0,
TEXT($J23-$I23-$V$8,"[tt]:mm"),
"-"&amp;TEXT(ABS($J23-$I23-$V$8),"[tt]:mm")
)
)
)
)
))</f>
        <v>0:00</v>
      </c>
      <c r="L23" s="94" t="str">
        <f t="shared" si="3"/>
        <v>0</v>
      </c>
      <c r="M23" s="95" t="str">
        <f t="shared" si="4"/>
        <v>0:</v>
      </c>
      <c r="N23" s="96" t="str">
        <f t="shared" si="5"/>
        <v>0</v>
      </c>
      <c r="O23" s="97">
        <f t="shared" si="6"/>
        <v>0</v>
      </c>
      <c r="P23" s="90">
        <f t="shared" si="7"/>
        <v>0</v>
      </c>
      <c r="Q23" s="69"/>
    </row>
    <row r="24" spans="1:21" ht="15.75" x14ac:dyDescent="0.25">
      <c r="A24" s="98">
        <f t="shared" si="1"/>
        <v>42</v>
      </c>
      <c r="B24" s="99">
        <f t="shared" si="8"/>
        <v>45583</v>
      </c>
      <c r="C24" s="100" t="str" cm="1">
        <f t="array" ref="C24">_xlfn.SWITCH(WEEKDAY($D24, 2), 1, "Monday", 2, "Tuesday", 3, "Wednesday", 4, "Thursday", 5, "Friday", 6, "Saturday", 7, "Sunday")</f>
        <v>Friday</v>
      </c>
      <c r="D24" s="88">
        <f t="shared" si="0"/>
        <v>6</v>
      </c>
      <c r="E24" s="92">
        <f t="shared" si="2"/>
        <v>45583</v>
      </c>
      <c r="F24" s="15" t="s">
        <v>21</v>
      </c>
      <c r="G24" s="87">
        <f>IFERROR(
    IF($F24="N", $V$8,
        IF(OR(
            AND(Masterdata!$B$4&lt;&gt;DATE(1900,1,0), Masterdata!$B$4&lt;$E24),
            AND(Masterdata!$B$3&lt;&gt;DATE(1900,1,0), Masterdata!$B$3&gt;$E24)
        ),
        IF($H24&gt;=TIME(0,0,0), "Write in the next field", 0),
        IF($H24&gt;=TIME(0,0,0), "Write in the next field",
            IF($H24&gt;=0, 0,
                IF(OR($C24="Saturday", $C24="Sunday"), 0, 0)
            )
        )
    )),
"Write in the next field")</f>
        <v>0.30833333333333335</v>
      </c>
      <c r="H24" s="16">
        <v>0</v>
      </c>
      <c r="I24" s="16">
        <v>0</v>
      </c>
      <c r="J24" s="16">
        <v>0</v>
      </c>
      <c r="K24" s="86" t="str">
        <f>IF(F24="N","0:00",IF(
OR(
AND(Masterdata!$B$4&lt;&gt;DATE(1900,1,0),Masterdata!$B$4&lt;$E24),
AND(Masterdata!$B$3&lt;&gt;DATE(1900,1,0),Masterdata!$B$3&gt;$E24)
),
"0:00",
IF(
$H24&gt;TIME(0,0,0),
IF(
OR($C24="Saturday",$C24="Sunday"),
TEXT($H24,"[tt]:mm"),
IF($H24-$V$8&gt;=0,TEXT($H24-$V$8,"[tt]:mm"),"-"&amp;TEXT(ABS($H24-$V$8),"[tt]:mm"))
),
IF(
OR($C24="Saturday",$C24="Sunday"),
IF($J24-$I24&gt;=0,TEXT($J24-$I24,"[tt]:mm"),"-"&amp;TEXT(ABS($J24-$I24),"[tt]:mm")),
IFERROR(
IF($G24-$V$8=0,
IF($G24-$V$8&gt;=0,TEXT($G24-$V$8,"[tt]:mm"),"-"&amp;TEXT(ABS($G24-$V$8),"[tt]:mm")),
IF($J24-$I24&gt;=0,TEXT($J24-$I24,"[tt]:mm"),"-"&amp;TEXT(ABS($J24-$I24),"[tt]:mm"))
),
IF(
$J24-$I24-$V$8&gt;=0,
TEXT($J24-$I24-$V$8,"[tt]:mm"),
"-"&amp;TEXT(ABS($J24-$I24-$V$8),"[tt]:mm")
)
)
)
)
))</f>
        <v>0:00</v>
      </c>
      <c r="L24" s="94" t="str">
        <f t="shared" si="3"/>
        <v>0</v>
      </c>
      <c r="M24" s="95" t="str">
        <f t="shared" si="4"/>
        <v>0:</v>
      </c>
      <c r="N24" s="96" t="str">
        <f t="shared" si="5"/>
        <v>0</v>
      </c>
      <c r="O24" s="97">
        <f t="shared" si="6"/>
        <v>0</v>
      </c>
      <c r="P24" s="90">
        <f t="shared" si="7"/>
        <v>0</v>
      </c>
      <c r="Q24" s="69"/>
    </row>
    <row r="25" spans="1:21" ht="15.75" x14ac:dyDescent="0.25">
      <c r="A25" s="98">
        <f t="shared" si="1"/>
        <v>42</v>
      </c>
      <c r="B25" s="99">
        <f t="shared" si="8"/>
        <v>45584</v>
      </c>
      <c r="C25" s="100" t="str" cm="1">
        <f t="array" ref="C25">_xlfn.SWITCH(WEEKDAY($D25, 2), 1, "Monday", 2, "Tuesday", 3, "Wednesday", 4, "Thursday", 5, "Friday", 6, "Saturday", 7, "Sunday")</f>
        <v>Saturday</v>
      </c>
      <c r="D25" s="88">
        <f t="shared" si="0"/>
        <v>7</v>
      </c>
      <c r="E25" s="92">
        <f t="shared" si="2"/>
        <v>45584</v>
      </c>
      <c r="F25" s="15" t="s">
        <v>21</v>
      </c>
      <c r="G25" s="87">
        <f>IF($F25="N",0,"Write in the next field")</f>
        <v>0</v>
      </c>
      <c r="H25" s="16">
        <v>0</v>
      </c>
      <c r="I25" s="16">
        <v>0</v>
      </c>
      <c r="J25" s="16">
        <v>0</v>
      </c>
      <c r="K25" s="86" t="str">
        <f>IF(F25="N","0:00",IF(
OR(
AND(Masterdata!$B$4&lt;&gt;DATE(1900,1,0),Masterdata!$B$4&lt;$E25),
AND(Masterdata!$B$3&lt;&gt;DATE(1900,1,0),Masterdata!$B$3&gt;$E25)
),
"0:00",
IF(
$H25&gt;TIME(0,0,0),
IF(
OR($C25="Saturday",$C25="Sunday"),
TEXT($H25,"[tt]:mm"),
IF($H25-$V$8&gt;=0,TEXT($H25-$V$8,"[tt]:mm"),"-"&amp;TEXT(ABS($H25-$V$8),"[tt]:mm"))
),
IF(
OR($C25="Saturday",$C25="Sunday"),
IF($J25-$I25&gt;=0,TEXT($J25-$I25,"[tt]:mm"),"-"&amp;TEXT(ABS($J25-$I25),"[tt]:mm")),
IFERROR(
IF($G25-$V$8=0,
IF($G25-$V$8&gt;=0,TEXT($G25-$V$8,"[tt]:mm"),"-"&amp;TEXT(ABS($G25-$V$8),"[tt]:mm")),
IF($J25-$I25&gt;=0,TEXT($J25-$I25,"[tt]:mm"),"-"&amp;TEXT(ABS($J25-$I25),"[tt]:mm"))
),
IF(
$J25-$I25-$V$8&gt;=0,
TEXT($J25-$I25-$V$8,"[tt]:mm"),
"-"&amp;TEXT(ABS($J25-$I25-$V$8),"[tt]:mm")
)
)
)
)
))</f>
        <v>0:00</v>
      </c>
      <c r="L25" s="94" t="str">
        <f t="shared" si="3"/>
        <v>0</v>
      </c>
      <c r="M25" s="95" t="str">
        <f t="shared" si="4"/>
        <v>0:</v>
      </c>
      <c r="N25" s="96" t="str">
        <f t="shared" si="5"/>
        <v>0</v>
      </c>
      <c r="O25" s="97">
        <f t="shared" si="6"/>
        <v>0</v>
      </c>
      <c r="P25" s="90">
        <f t="shared" si="7"/>
        <v>0</v>
      </c>
      <c r="Q25" s="69"/>
    </row>
    <row r="26" spans="1:21" ht="15.75" x14ac:dyDescent="0.25">
      <c r="A26" s="98">
        <f t="shared" si="1"/>
        <v>42</v>
      </c>
      <c r="B26" s="99">
        <f t="shared" si="8"/>
        <v>45585</v>
      </c>
      <c r="C26" s="100" t="str" cm="1">
        <f t="array" ref="C26">_xlfn.SWITCH(WEEKDAY($D26, 2), 1, "Monday", 2, "Tuesday", 3, "Wednesday", 4, "Thursday", 5, "Friday", 6, "Saturday", 7, "Sunday")</f>
        <v>Sunday</v>
      </c>
      <c r="D26" s="88">
        <f t="shared" si="0"/>
        <v>8</v>
      </c>
      <c r="E26" s="92">
        <f t="shared" si="2"/>
        <v>45585</v>
      </c>
      <c r="F26" s="15" t="s">
        <v>21</v>
      </c>
      <c r="G26" s="87">
        <f>IF($F26="N",0,"Write in the next field")</f>
        <v>0</v>
      </c>
      <c r="H26" s="16">
        <v>0</v>
      </c>
      <c r="I26" s="16">
        <v>0</v>
      </c>
      <c r="J26" s="16">
        <v>0</v>
      </c>
      <c r="K26" s="86" t="str">
        <f>IF(F26="N","0:00",IF(
OR(
AND(Masterdata!$B$4&lt;&gt;DATE(1900,1,0),Masterdata!$B$4&lt;$E26),
AND(Masterdata!$B$3&lt;&gt;DATE(1900,1,0),Masterdata!$B$3&gt;$E26)
),
"0:00",
IF(
$H26&gt;TIME(0,0,0),
IF(
OR($C26="Saturday",$C26="Sunday"),
TEXT($H26,"[tt]:mm"),
IF($H26-$V$8&gt;=0,TEXT($H26-$V$8,"[tt]:mm"),"-"&amp;TEXT(ABS($H26-$V$8),"[tt]:mm"))
),
IF(
OR($C26="Saturday",$C26="Sunday"),
IF($J26-$I26&gt;=0,TEXT($J26-$I26,"[tt]:mm"),"-"&amp;TEXT(ABS($J26-$I26),"[tt]:mm")),
IFERROR(
IF($G26-$V$8=0,
IF($G26-$V$8&gt;=0,TEXT($G26-$V$8,"[tt]:mm"),"-"&amp;TEXT(ABS($G26-$V$8),"[tt]:mm")),
IF($J26-$I26&gt;=0,TEXT($J26-$I26,"[tt]:mm"),"-"&amp;TEXT(ABS($J26-$I26),"[tt]:mm"))
),
IF(
$J26-$I26-$V$8&gt;=0,
TEXT($J26-$I26-$V$8,"[tt]:mm"),
"-"&amp;TEXT(ABS($J26-$I26-$V$8),"[tt]:mm")
)
)
)
)
))</f>
        <v>0:00</v>
      </c>
      <c r="L26" s="94" t="str">
        <f t="shared" si="3"/>
        <v>0</v>
      </c>
      <c r="M26" s="95" t="str">
        <f t="shared" si="4"/>
        <v>0:</v>
      </c>
      <c r="N26" s="96" t="str">
        <f t="shared" si="5"/>
        <v>0</v>
      </c>
      <c r="O26" s="97">
        <f t="shared" si="6"/>
        <v>0</v>
      </c>
      <c r="P26" s="90">
        <f t="shared" si="7"/>
        <v>0</v>
      </c>
      <c r="Q26" s="69"/>
    </row>
    <row r="27" spans="1:21" ht="15.75" x14ac:dyDescent="0.25">
      <c r="A27" s="98">
        <f t="shared" si="1"/>
        <v>43</v>
      </c>
      <c r="B27" s="99">
        <f t="shared" si="8"/>
        <v>45586</v>
      </c>
      <c r="C27" s="100" t="str" cm="1">
        <f t="array" ref="C27">_xlfn.SWITCH(WEEKDAY($D27, 2), 1, "Monday", 2, "Tuesday", 3, "Wednesday", 4, "Thursday", 5, "Friday", 6, "Saturday", 7, "Sunday")</f>
        <v>Monday</v>
      </c>
      <c r="D27" s="88">
        <f t="shared" si="0"/>
        <v>2</v>
      </c>
      <c r="E27" s="92">
        <f t="shared" si="2"/>
        <v>45586</v>
      </c>
      <c r="F27" s="15" t="s">
        <v>21</v>
      </c>
      <c r="G27" s="87">
        <f>IFERROR(
    IF($F27="N", $V$8,
        IF(OR(
            AND(Masterdata!$B$4&lt;&gt;DATE(1900,1,0), Masterdata!$B$4&lt;$E27),
            AND(Masterdata!$B$3&lt;&gt;DATE(1900,1,0), Masterdata!$B$3&gt;$E27)
        ),
        IF($H27&gt;=TIME(0,0,0), "Write in the next field", 0),
        IF($H27&gt;=TIME(0,0,0), "Write in the next field",
            IF($H27&gt;=0, 0,
                IF(OR($C27="Saturday", $C27="Sunday"), 0, 0)
            )
        )
    )),
"Write in the next field")</f>
        <v>0.30833333333333335</v>
      </c>
      <c r="H27" s="16">
        <v>0</v>
      </c>
      <c r="I27" s="16">
        <v>0</v>
      </c>
      <c r="J27" s="16">
        <v>0</v>
      </c>
      <c r="K27" s="86" t="str">
        <f>IF(F27="N","0:00",IF(
OR(
AND(Masterdata!$B$4&lt;&gt;DATE(1900,1,0),Masterdata!$B$4&lt;$E27),
AND(Masterdata!$B$3&lt;&gt;DATE(1900,1,0),Masterdata!$B$3&gt;$E27)
),
"0:00",
IF(
$H27&gt;TIME(0,0,0),
IF(
OR($C27="Saturday",$C27="Sunday"),
TEXT($H27,"[tt]:mm"),
IF($H27-$V$8&gt;=0,TEXT($H27-$V$8,"[tt]:mm"),"-"&amp;TEXT(ABS($H27-$V$8),"[tt]:mm"))
),
IF(
OR($C27="Saturday",$C27="Sunday"),
IF($J27-$I27&gt;=0,TEXT($J27-$I27,"[tt]:mm"),"-"&amp;TEXT(ABS($J27-$I27),"[tt]:mm")),
IFERROR(
IF($G27-$V$8=0,
IF($G27-$V$8&gt;=0,TEXT($G27-$V$8,"[tt]:mm"),"-"&amp;TEXT(ABS($G27-$V$8),"[tt]:mm")),
IF($J27-$I27&gt;=0,TEXT($J27-$I27,"[tt]:mm"),"-"&amp;TEXT(ABS($J27-$I27),"[tt]:mm"))
),
IF(
$J27-$I27-$V$8&gt;=0,
TEXT($J27-$I27-$V$8,"[tt]:mm"),
"-"&amp;TEXT(ABS($J27-$I27-$V$8),"[tt]:mm")
)
)
)
)
))</f>
        <v>0:00</v>
      </c>
      <c r="L27" s="94" t="str">
        <f t="shared" si="3"/>
        <v>0</v>
      </c>
      <c r="M27" s="95" t="str">
        <f t="shared" si="4"/>
        <v>0:</v>
      </c>
      <c r="N27" s="96" t="str">
        <f t="shared" si="5"/>
        <v>0</v>
      </c>
      <c r="O27" s="97">
        <f t="shared" si="6"/>
        <v>0</v>
      </c>
      <c r="P27" s="90">
        <f t="shared" si="7"/>
        <v>0</v>
      </c>
      <c r="Q27" s="69"/>
    </row>
    <row r="28" spans="1:21" ht="15.75" x14ac:dyDescent="0.25">
      <c r="A28" s="98">
        <f t="shared" si="1"/>
        <v>43</v>
      </c>
      <c r="B28" s="99">
        <f t="shared" si="8"/>
        <v>45587</v>
      </c>
      <c r="C28" s="100" t="str" cm="1">
        <f t="array" ref="C28">_xlfn.SWITCH(WEEKDAY($D28, 2), 1, "Monday", 2, "Tuesday", 3, "Wednesday", 4, "Thursday", 5, "Friday", 6, "Saturday", 7, "Sunday")</f>
        <v>Tuesday</v>
      </c>
      <c r="D28" s="88">
        <f t="shared" si="0"/>
        <v>3</v>
      </c>
      <c r="E28" s="92">
        <f t="shared" si="2"/>
        <v>45587</v>
      </c>
      <c r="F28" s="15" t="s">
        <v>21</v>
      </c>
      <c r="G28" s="87">
        <f>IFERROR(
    IF($F28="N", $V$8,
        IF(OR(
            AND(Masterdata!$B$4&lt;&gt;DATE(1900,1,0), Masterdata!$B$4&lt;$E28),
            AND(Masterdata!$B$3&lt;&gt;DATE(1900,1,0), Masterdata!$B$3&gt;$E28)
        ),
        IF($H28&gt;=TIME(0,0,0), "Write in the next field", 0),
        IF($H28&gt;=TIME(0,0,0), "Write in the next field",
            IF($H28&gt;=0, 0,
                IF(OR($C28="Saturday", $C28="Sunday"), 0, 0)
            )
        )
    )),
"Write in the next field")</f>
        <v>0.30833333333333335</v>
      </c>
      <c r="H28" s="16">
        <v>0</v>
      </c>
      <c r="I28" s="16">
        <v>0</v>
      </c>
      <c r="J28" s="16">
        <v>0</v>
      </c>
      <c r="K28" s="86" t="str">
        <f>IF(F28="N","0:00",IF(
OR(
AND(Masterdata!$B$4&lt;&gt;DATE(1900,1,0),Masterdata!$B$4&lt;$E28),
AND(Masterdata!$B$3&lt;&gt;DATE(1900,1,0),Masterdata!$B$3&gt;$E28)
),
"0:00",
IF(
$H28&gt;TIME(0,0,0),
IF(
OR($C28="Saturday",$C28="Sunday"),
TEXT($H28,"[tt]:mm"),
IF($H28-$V$8&gt;=0,TEXT($H28-$V$8,"[tt]:mm"),"-"&amp;TEXT(ABS($H28-$V$8),"[tt]:mm"))
),
IF(
OR($C28="Saturday",$C28="Sunday"),
IF($J28-$I28&gt;=0,TEXT($J28-$I28,"[tt]:mm"),"-"&amp;TEXT(ABS($J28-$I28),"[tt]:mm")),
IFERROR(
IF($G28-$V$8=0,
IF($G28-$V$8&gt;=0,TEXT($G28-$V$8,"[tt]:mm"),"-"&amp;TEXT(ABS($G28-$V$8),"[tt]:mm")),
IF($J28-$I28&gt;=0,TEXT($J28-$I28,"[tt]:mm"),"-"&amp;TEXT(ABS($J28-$I28),"[tt]:mm"))
),
IF(
$J28-$I28-$V$8&gt;=0,
TEXT($J28-$I28-$V$8,"[tt]:mm"),
"-"&amp;TEXT(ABS($J28-$I28-$V$8),"[tt]:mm")
)
)
)
)
))</f>
        <v>0:00</v>
      </c>
      <c r="L28" s="94" t="str">
        <f t="shared" si="3"/>
        <v>0</v>
      </c>
      <c r="M28" s="95" t="str">
        <f t="shared" si="4"/>
        <v>0:</v>
      </c>
      <c r="N28" s="96" t="str">
        <f t="shared" si="5"/>
        <v>0</v>
      </c>
      <c r="O28" s="97">
        <f t="shared" si="6"/>
        <v>0</v>
      </c>
      <c r="P28" s="90">
        <f t="shared" si="7"/>
        <v>0</v>
      </c>
      <c r="Q28" s="69"/>
    </row>
    <row r="29" spans="1:21" ht="15.75" x14ac:dyDescent="0.25">
      <c r="A29" s="98">
        <f t="shared" si="1"/>
        <v>43</v>
      </c>
      <c r="B29" s="99">
        <f t="shared" si="8"/>
        <v>45588</v>
      </c>
      <c r="C29" s="100" t="str" cm="1">
        <f t="array" ref="C29">_xlfn.SWITCH(WEEKDAY($D29, 2), 1, "Monday", 2, "Tuesday", 3, "Wednesday", 4, "Thursday", 5, "Friday", 6, "Saturday", 7, "Sunday")</f>
        <v>Wednesday</v>
      </c>
      <c r="D29" s="88">
        <f t="shared" si="0"/>
        <v>4</v>
      </c>
      <c r="E29" s="92">
        <f t="shared" si="2"/>
        <v>45588</v>
      </c>
      <c r="F29" s="15" t="s">
        <v>21</v>
      </c>
      <c r="G29" s="87">
        <f>IFERROR(
    IF($F29="N", $V$8,
        IF(OR(
            AND(Masterdata!$B$4&lt;&gt;DATE(1900,1,0), Masterdata!$B$4&lt;$E29),
            AND(Masterdata!$B$3&lt;&gt;DATE(1900,1,0), Masterdata!$B$3&gt;$E29)
        ),
        IF($H29&gt;=TIME(0,0,0), "Write in the next field", 0),
        IF($H29&gt;=TIME(0,0,0), "Write in the next field",
            IF($H29&gt;=0, 0,
                IF(OR($C29="Saturday", $C29="Sunday"), 0, 0)
            )
        )
    )),
"Write in the next field")</f>
        <v>0.30833333333333335</v>
      </c>
      <c r="H29" s="16">
        <v>0</v>
      </c>
      <c r="I29" s="16">
        <v>0</v>
      </c>
      <c r="J29" s="16">
        <v>0</v>
      </c>
      <c r="K29" s="86" t="str">
        <f>IF(F29="N","0:00",IF(
OR(
AND(Masterdata!$B$4&lt;&gt;DATE(1900,1,0),Masterdata!$B$4&lt;$E29),
AND(Masterdata!$B$3&lt;&gt;DATE(1900,1,0),Masterdata!$B$3&gt;$E29)
),
"0:00",
IF(
$H29&gt;TIME(0,0,0),
IF(
OR($C29="Saturday",$C29="Sunday"),
TEXT($H29,"[tt]:mm"),
IF($H29-$V$8&gt;=0,TEXT($H29-$V$8,"[tt]:mm"),"-"&amp;TEXT(ABS($H29-$V$8),"[tt]:mm"))
),
IF(
OR($C29="Saturday",$C29="Sunday"),
IF($J29-$I29&gt;=0,TEXT($J29-$I29,"[tt]:mm"),"-"&amp;TEXT(ABS($J29-$I29),"[tt]:mm")),
IFERROR(
IF($G29-$V$8=0,
IF($G29-$V$8&gt;=0,TEXT($G29-$V$8,"[tt]:mm"),"-"&amp;TEXT(ABS($G29-$V$8),"[tt]:mm")),
IF($J29-$I29&gt;=0,TEXT($J29-$I29,"[tt]:mm"),"-"&amp;TEXT(ABS($J29-$I29),"[tt]:mm"))
),
IF(
$J29-$I29-$V$8&gt;=0,
TEXT($J29-$I29-$V$8,"[tt]:mm"),
"-"&amp;TEXT(ABS($J29-$I29-$V$8),"[tt]:mm")
)
)
)
)
))</f>
        <v>0:00</v>
      </c>
      <c r="L29" s="94" t="str">
        <f t="shared" si="3"/>
        <v>0</v>
      </c>
      <c r="M29" s="95" t="str">
        <f t="shared" si="4"/>
        <v>0:</v>
      </c>
      <c r="N29" s="96" t="str">
        <f t="shared" si="5"/>
        <v>0</v>
      </c>
      <c r="O29" s="97">
        <f t="shared" si="6"/>
        <v>0</v>
      </c>
      <c r="P29" s="90">
        <f t="shared" si="7"/>
        <v>0</v>
      </c>
      <c r="Q29" s="69"/>
    </row>
    <row r="30" spans="1:21" ht="15.75" x14ac:dyDescent="0.25">
      <c r="A30" s="98">
        <f t="shared" si="1"/>
        <v>43</v>
      </c>
      <c r="B30" s="99">
        <f t="shared" si="8"/>
        <v>45589</v>
      </c>
      <c r="C30" s="100" t="str" cm="1">
        <f t="array" ref="C30">_xlfn.SWITCH(WEEKDAY($D30, 2), 1, "Monday", 2, "Tuesday", 3, "Wednesday", 4, "Thursday", 5, "Friday", 6, "Saturday", 7, "Sunday")</f>
        <v>Thursday</v>
      </c>
      <c r="D30" s="88">
        <f t="shared" si="0"/>
        <v>5</v>
      </c>
      <c r="E30" s="92">
        <f t="shared" si="2"/>
        <v>45589</v>
      </c>
      <c r="F30" s="15" t="s">
        <v>21</v>
      </c>
      <c r="G30" s="87">
        <f>IFERROR(
    IF($F30="N", $V$8,
        IF(OR(
            AND(Masterdata!$B$4&lt;&gt;DATE(1900,1,0), Masterdata!$B$4&lt;$E30),
            AND(Masterdata!$B$3&lt;&gt;DATE(1900,1,0), Masterdata!$B$3&gt;$E30)
        ),
        IF($H30&gt;=TIME(0,0,0), "Write in the next field", 0),
        IF($H30&gt;=TIME(0,0,0), "Write in the next field",
            IF($H30&gt;=0, 0,
                IF(OR($C30="Saturday", $C30="Sunday"), 0, 0)
            )
        )
    )),
"Write in the next field")</f>
        <v>0.30833333333333335</v>
      </c>
      <c r="H30" s="16">
        <v>0</v>
      </c>
      <c r="I30" s="16">
        <v>0</v>
      </c>
      <c r="J30" s="16">
        <v>0</v>
      </c>
      <c r="K30" s="86" t="str">
        <f>IF(F30="N","0:00",IF(
OR(
AND(Masterdata!$B$4&lt;&gt;DATE(1900,1,0),Masterdata!$B$4&lt;$E30),
AND(Masterdata!$B$3&lt;&gt;DATE(1900,1,0),Masterdata!$B$3&gt;$E30)
),
"0:00",
IF(
$H30&gt;TIME(0,0,0),
IF(
OR($C30="Saturday",$C30="Sunday"),
TEXT($H30,"[tt]:mm"),
IF($H30-$V$8&gt;=0,TEXT($H30-$V$8,"[tt]:mm"),"-"&amp;TEXT(ABS($H30-$V$8),"[tt]:mm"))
),
IF(
OR($C30="Saturday",$C30="Sunday"),
IF($J30-$I30&gt;=0,TEXT($J30-$I30,"[tt]:mm"),"-"&amp;TEXT(ABS($J30-$I30),"[tt]:mm")),
IFERROR(
IF($G30-$V$8=0,
IF($G30-$V$8&gt;=0,TEXT($G30-$V$8,"[tt]:mm"),"-"&amp;TEXT(ABS($G30-$V$8),"[tt]:mm")),
IF($J30-$I30&gt;=0,TEXT($J30-$I30,"[tt]:mm"),"-"&amp;TEXT(ABS($J30-$I30),"[tt]:mm"))
),
IF(
$J30-$I30-$V$8&gt;=0,
TEXT($J30-$I30-$V$8,"[tt]:mm"),
"-"&amp;TEXT(ABS($J30-$I30-$V$8),"[tt]:mm")
)
)
)
)
))</f>
        <v>0:00</v>
      </c>
      <c r="L30" s="94" t="str">
        <f t="shared" si="3"/>
        <v>0</v>
      </c>
      <c r="M30" s="95" t="str">
        <f t="shared" si="4"/>
        <v>0:</v>
      </c>
      <c r="N30" s="96" t="str">
        <f t="shared" si="5"/>
        <v>0</v>
      </c>
      <c r="O30" s="97">
        <f t="shared" si="6"/>
        <v>0</v>
      </c>
      <c r="P30" s="90">
        <f t="shared" si="7"/>
        <v>0</v>
      </c>
      <c r="Q30" s="69"/>
    </row>
    <row r="31" spans="1:21" ht="15.75" x14ac:dyDescent="0.25">
      <c r="A31" s="98">
        <f t="shared" si="1"/>
        <v>43</v>
      </c>
      <c r="B31" s="99">
        <f t="shared" si="8"/>
        <v>45590</v>
      </c>
      <c r="C31" s="100" t="str" cm="1">
        <f t="array" ref="C31">_xlfn.SWITCH(WEEKDAY($D31, 2), 1, "Monday", 2, "Tuesday", 3, "Wednesday", 4, "Thursday", 5, "Friday", 6, "Saturday", 7, "Sunday")</f>
        <v>Friday</v>
      </c>
      <c r="D31" s="88">
        <f t="shared" si="0"/>
        <v>6</v>
      </c>
      <c r="E31" s="92">
        <f t="shared" si="2"/>
        <v>45590</v>
      </c>
      <c r="F31" s="15" t="s">
        <v>21</v>
      </c>
      <c r="G31" s="87">
        <f>IFERROR(
    IF($F31="N", $V$8,
        IF(OR(
            AND(Masterdata!$B$4&lt;&gt;DATE(1900,1,0), Masterdata!$B$4&lt;$E31),
            AND(Masterdata!$B$3&lt;&gt;DATE(1900,1,0), Masterdata!$B$3&gt;$E31)
        ),
        IF($H31&gt;=TIME(0,0,0), "Write in the next field", 0),
        IF($H31&gt;=TIME(0,0,0), "Write in the next field",
            IF($H31&gt;=0, 0,
                IF(OR($C31="Saturday", $C31="Sunday"), 0, 0)
            )
        )
    )),
"Write in the next field")</f>
        <v>0.30833333333333335</v>
      </c>
      <c r="H31" s="16">
        <v>0</v>
      </c>
      <c r="I31" s="16">
        <v>0</v>
      </c>
      <c r="J31" s="16">
        <v>0</v>
      </c>
      <c r="K31" s="86" t="str">
        <f>IF(F31="N","0:00",IF(
OR(
AND(Masterdata!$B$4&lt;&gt;DATE(1900,1,0),Masterdata!$B$4&lt;$E31),
AND(Masterdata!$B$3&lt;&gt;DATE(1900,1,0),Masterdata!$B$3&gt;$E31)
),
"0:00",
IF(
$H31&gt;TIME(0,0,0),
IF(
OR($C31="Saturday",$C31="Sunday"),
TEXT($H31,"[tt]:mm"),
IF($H31-$V$8&gt;=0,TEXT($H31-$V$8,"[tt]:mm"),"-"&amp;TEXT(ABS($H31-$V$8),"[tt]:mm"))
),
IF(
OR($C31="Saturday",$C31="Sunday"),
IF($J31-$I31&gt;=0,TEXT($J31-$I31,"[tt]:mm"),"-"&amp;TEXT(ABS($J31-$I31),"[tt]:mm")),
IFERROR(
IF($G31-$V$8=0,
IF($G31-$V$8&gt;=0,TEXT($G31-$V$8,"[tt]:mm"),"-"&amp;TEXT(ABS($G31-$V$8),"[tt]:mm")),
IF($J31-$I31&gt;=0,TEXT($J31-$I31,"[tt]:mm"),"-"&amp;TEXT(ABS($J31-$I31),"[tt]:mm"))
),
IF(
$J31-$I31-$V$8&gt;=0,
TEXT($J31-$I31-$V$8,"[tt]:mm"),
"-"&amp;TEXT(ABS($J31-$I31-$V$8),"[tt]:mm")
)
)
)
)
))</f>
        <v>0:00</v>
      </c>
      <c r="L31" s="94" t="str">
        <f t="shared" si="3"/>
        <v>0</v>
      </c>
      <c r="M31" s="95" t="str">
        <f t="shared" si="4"/>
        <v>0:</v>
      </c>
      <c r="N31" s="96" t="str">
        <f t="shared" si="5"/>
        <v>0</v>
      </c>
      <c r="O31" s="97">
        <f t="shared" si="6"/>
        <v>0</v>
      </c>
      <c r="P31" s="90">
        <f t="shared" si="7"/>
        <v>0</v>
      </c>
      <c r="Q31" s="69"/>
    </row>
    <row r="32" spans="1:21" ht="15.75" x14ac:dyDescent="0.25">
      <c r="A32" s="98">
        <f t="shared" si="1"/>
        <v>43</v>
      </c>
      <c r="B32" s="99">
        <f t="shared" si="8"/>
        <v>45591</v>
      </c>
      <c r="C32" s="100" t="str" cm="1">
        <f t="array" ref="C32">_xlfn.SWITCH(WEEKDAY($D32, 2), 1, "Monday", 2, "Tuesday", 3, "Wednesday", 4, "Thursday", 5, "Friday", 6, "Saturday", 7, "Sunday")</f>
        <v>Saturday</v>
      </c>
      <c r="D32" s="88">
        <f t="shared" si="0"/>
        <v>7</v>
      </c>
      <c r="E32" s="92">
        <f t="shared" si="2"/>
        <v>45591</v>
      </c>
      <c r="F32" s="15" t="s">
        <v>21</v>
      </c>
      <c r="G32" s="87">
        <f>IF($F32="N",0,"Write in the next field")</f>
        <v>0</v>
      </c>
      <c r="H32" s="16">
        <v>0</v>
      </c>
      <c r="I32" s="16">
        <v>0</v>
      </c>
      <c r="J32" s="16">
        <v>0</v>
      </c>
      <c r="K32" s="86" t="str">
        <f>IF(F32="N","0:00",IF(
OR(
AND(Masterdata!$B$4&lt;&gt;DATE(1900,1,0),Masterdata!$B$4&lt;$E32),
AND(Masterdata!$B$3&lt;&gt;DATE(1900,1,0),Masterdata!$B$3&gt;$E32)
),
"0:00",
IF(
$H32&gt;TIME(0,0,0),
IF(
OR($C32="Saturday",$C32="Sunday"),
TEXT($H32,"[tt]:mm"),
IF($H32-$V$8&gt;=0,TEXT($H32-$V$8,"[tt]:mm"),"-"&amp;TEXT(ABS($H32-$V$8),"[tt]:mm"))
),
IF(
OR($C32="Saturday",$C32="Sunday"),
IF($J32-$I32&gt;=0,TEXT($J32-$I32,"[tt]:mm"),"-"&amp;TEXT(ABS($J32-$I32),"[tt]:mm")),
IFERROR(
IF($G32-$V$8=0,
IF($G32-$V$8&gt;=0,TEXT($G32-$V$8,"[tt]:mm"),"-"&amp;TEXT(ABS($G32-$V$8),"[tt]:mm")),
IF($J32-$I32&gt;=0,TEXT($J32-$I32,"[tt]:mm"),"-"&amp;TEXT(ABS($J32-$I32),"[tt]:mm"))
),
IF(
$J32-$I32-$V$8&gt;=0,
TEXT($J32-$I32-$V$8,"[tt]:mm"),
"-"&amp;TEXT(ABS($J32-$I32-$V$8),"[tt]:mm")
)
)
)
)
))</f>
        <v>0:00</v>
      </c>
      <c r="L32" s="94" t="str">
        <f t="shared" si="3"/>
        <v>0</v>
      </c>
      <c r="M32" s="95" t="str">
        <f t="shared" si="4"/>
        <v>0:</v>
      </c>
      <c r="N32" s="96" t="str">
        <f t="shared" si="5"/>
        <v>0</v>
      </c>
      <c r="O32" s="97">
        <f t="shared" si="6"/>
        <v>0</v>
      </c>
      <c r="P32" s="90">
        <f t="shared" si="7"/>
        <v>0</v>
      </c>
      <c r="Q32" s="69"/>
    </row>
    <row r="33" spans="1:17" ht="15.75" x14ac:dyDescent="0.25">
      <c r="A33" s="98">
        <f t="shared" si="1"/>
        <v>43</v>
      </c>
      <c r="B33" s="99">
        <f t="shared" si="8"/>
        <v>45592</v>
      </c>
      <c r="C33" s="100" t="str" cm="1">
        <f t="array" ref="C33">_xlfn.SWITCH(WEEKDAY($D33, 2), 1, "Monday", 2, "Tuesday", 3, "Wednesday", 4, "Thursday", 5, "Friday", 6, "Saturday", 7, "Sunday")</f>
        <v>Sunday</v>
      </c>
      <c r="D33" s="88">
        <f t="shared" si="0"/>
        <v>8</v>
      </c>
      <c r="E33" s="92">
        <f t="shared" si="2"/>
        <v>45592</v>
      </c>
      <c r="F33" s="15" t="s">
        <v>21</v>
      </c>
      <c r="G33" s="87">
        <f>IF($F33="N",0,"Write in the next field")</f>
        <v>0</v>
      </c>
      <c r="H33" s="16">
        <v>0</v>
      </c>
      <c r="I33" s="16">
        <v>0</v>
      </c>
      <c r="J33" s="16">
        <v>0</v>
      </c>
      <c r="K33" s="86" t="str">
        <f>IF(F33="N","0:00",IF(
OR(
AND(Masterdata!$B$4&lt;&gt;DATE(1900,1,0),Masterdata!$B$4&lt;$E33),
AND(Masterdata!$B$3&lt;&gt;DATE(1900,1,0),Masterdata!$B$3&gt;$E33)
),
"0:00",
IF(
$H33&gt;TIME(0,0,0),
IF(
OR($C33="Saturday",$C33="Sunday"),
TEXT($H33,"[tt]:mm"),
IF($H33-$V$8&gt;=0,TEXT($H33-$V$8,"[tt]:mm"),"-"&amp;TEXT(ABS($H33-$V$8),"[tt]:mm"))
),
IF(
OR($C33="Saturday",$C33="Sunday"),
IF($J33-$I33&gt;=0,TEXT($J33-$I33,"[tt]:mm"),"-"&amp;TEXT(ABS($J33-$I33),"[tt]:mm")),
IFERROR(
IF($G33-$V$8=0,
IF($G33-$V$8&gt;=0,TEXT($G33-$V$8,"[tt]:mm"),"-"&amp;TEXT(ABS($G33-$V$8),"[tt]:mm")),
IF($J33-$I33&gt;=0,TEXT($J33-$I33,"[tt]:mm"),"-"&amp;TEXT(ABS($J33-$I33),"[tt]:mm"))
),
IF(
$J33-$I33-$V$8&gt;=0,
TEXT($J33-$I33-$V$8,"[tt]:mm"),
"-"&amp;TEXT(ABS($J33-$I33-$V$8),"[tt]:mm")
)
)
)
)
))</f>
        <v>0:00</v>
      </c>
      <c r="L33" s="94" t="str">
        <f t="shared" si="3"/>
        <v>0</v>
      </c>
      <c r="M33" s="95" t="str">
        <f t="shared" si="4"/>
        <v>0:</v>
      </c>
      <c r="N33" s="96" t="str">
        <f t="shared" si="5"/>
        <v>0</v>
      </c>
      <c r="O33" s="97">
        <f t="shared" si="6"/>
        <v>0</v>
      </c>
      <c r="P33" s="90">
        <f t="shared" si="7"/>
        <v>0</v>
      </c>
      <c r="Q33" s="69"/>
    </row>
    <row r="34" spans="1:17" ht="15.75" x14ac:dyDescent="0.25">
      <c r="A34" s="98">
        <f t="shared" si="1"/>
        <v>44</v>
      </c>
      <c r="B34" s="99">
        <f t="shared" si="8"/>
        <v>45593</v>
      </c>
      <c r="C34" s="100" t="str" cm="1">
        <f t="array" ref="C34">_xlfn.SWITCH(WEEKDAY($D34, 2), 1, "Monday", 2, "Tuesday", 3, "Wednesday", 4, "Thursday", 5, "Friday", 6, "Saturday", 7, "Sunday")</f>
        <v>Monday</v>
      </c>
      <c r="D34" s="88">
        <f t="shared" si="0"/>
        <v>2</v>
      </c>
      <c r="E34" s="92">
        <f t="shared" si="2"/>
        <v>45593</v>
      </c>
      <c r="F34" s="15" t="s">
        <v>21</v>
      </c>
      <c r="G34" s="87">
        <f>IFERROR(
    IF($F34="N", $V$8,
        IF(OR(
            AND(Masterdata!$B$4&lt;&gt;DATE(1900,1,0), Masterdata!$B$4&lt;$E34),
            AND(Masterdata!$B$3&lt;&gt;DATE(1900,1,0), Masterdata!$B$3&gt;$E34)
        ),
        IF($H34&gt;=TIME(0,0,0), "Write in the next field", 0),
        IF($H34&gt;=TIME(0,0,0), "Write in the next field",
            IF($H34&gt;=0, 0,
                IF(OR($C34="Saturday", $C34="Sunday"), 0, 0)
            )
        )
    )),
"Write in the next field")</f>
        <v>0.30833333333333335</v>
      </c>
      <c r="H34" s="16">
        <v>0</v>
      </c>
      <c r="I34" s="16">
        <v>0</v>
      </c>
      <c r="J34" s="16">
        <v>0</v>
      </c>
      <c r="K34" s="86" t="str">
        <f>IF(F34="N","0:00",IF(
OR(
AND(Masterdata!$B$4&lt;&gt;DATE(1900,1,0),Masterdata!$B$4&lt;$E34),
AND(Masterdata!$B$3&lt;&gt;DATE(1900,1,0),Masterdata!$B$3&gt;$E34)
),
"0:00",
IF(
$H34&gt;TIME(0,0,0),
IF(
OR($C34="Saturday",$C34="Sunday"),
TEXT($H34,"[tt]:mm"),
IF($H34-$V$8&gt;=0,TEXT($H34-$V$8,"[tt]:mm"),"-"&amp;TEXT(ABS($H34-$V$8),"[tt]:mm"))
),
IF(
OR($C34="Saturday",$C34="Sunday"),
IF($J34-$I34&gt;=0,TEXT($J34-$I34,"[tt]:mm"),"-"&amp;TEXT(ABS($J34-$I34),"[tt]:mm")),
IFERROR(
IF($G34-$V$8=0,
IF($G34-$V$8&gt;=0,TEXT($G34-$V$8,"[tt]:mm"),"-"&amp;TEXT(ABS($G34-$V$8),"[tt]:mm")),
IF($J34-$I34&gt;=0,TEXT($J34-$I34,"[tt]:mm"),"-"&amp;TEXT(ABS($J34-$I34),"[tt]:mm"))
),
IF(
$J34-$I34-$V$8&gt;=0,
TEXT($J34-$I34-$V$8,"[tt]:mm"),
"-"&amp;TEXT(ABS($J34-$I34-$V$8),"[tt]:mm")
)
)
)
)
))</f>
        <v>0:00</v>
      </c>
      <c r="L34" s="94" t="str">
        <f t="shared" si="3"/>
        <v>0</v>
      </c>
      <c r="M34" s="95" t="str">
        <f t="shared" si="4"/>
        <v>0:</v>
      </c>
      <c r="N34" s="96" t="str">
        <f t="shared" si="5"/>
        <v>0</v>
      </c>
      <c r="O34" s="97">
        <f t="shared" si="6"/>
        <v>0</v>
      </c>
      <c r="P34" s="90">
        <f t="shared" si="7"/>
        <v>0</v>
      </c>
      <c r="Q34" s="69"/>
    </row>
    <row r="35" spans="1:17" ht="15.75" x14ac:dyDescent="0.25">
      <c r="A35" s="98">
        <f t="shared" si="1"/>
        <v>44</v>
      </c>
      <c r="B35" s="99">
        <f t="shared" si="8"/>
        <v>45594</v>
      </c>
      <c r="C35" s="100" t="str" cm="1">
        <f t="array" ref="C35">_xlfn.SWITCH(WEEKDAY($D35, 2), 1, "Monday", 2, "Tuesday", 3, "Wednesday", 4, "Thursday", 5, "Friday", 6, "Saturday", 7, "Sunday")</f>
        <v>Tuesday</v>
      </c>
      <c r="D35" s="88">
        <f t="shared" si="0"/>
        <v>3</v>
      </c>
      <c r="E35" s="92">
        <f t="shared" si="2"/>
        <v>45594</v>
      </c>
      <c r="F35" s="15" t="s">
        <v>21</v>
      </c>
      <c r="G35" s="87">
        <f>IFERROR(
    IF($F35="N", $V$8,
        IF(OR(
            AND(Masterdata!$B$4&lt;&gt;DATE(1900,1,0), Masterdata!$B$4&lt;$E35),
            AND(Masterdata!$B$3&lt;&gt;DATE(1900,1,0), Masterdata!$B$3&gt;$E35)
        ),
        IF($H35&gt;=TIME(0,0,0), "Write in the next field", 0),
        IF($H35&gt;=TIME(0,0,0), "Write in the next field",
            IF($H35&gt;=0, 0,
                IF(OR($C35="Saturday", $C35="Sunday"), 0, 0)
            )
        )
    )),
"Write in the next field")</f>
        <v>0.30833333333333335</v>
      </c>
      <c r="H35" s="16">
        <v>0</v>
      </c>
      <c r="I35" s="16">
        <v>0</v>
      </c>
      <c r="J35" s="16">
        <v>0</v>
      </c>
      <c r="K35" s="86" t="str">
        <f>IF(F35="N","0:00",IF(
OR(
AND(Masterdata!$B$4&lt;&gt;DATE(1900,1,0),Masterdata!$B$4&lt;$E35),
AND(Masterdata!$B$3&lt;&gt;DATE(1900,1,0),Masterdata!$B$3&gt;$E35)
),
"0:00",
IF(
$H35&gt;TIME(0,0,0),
IF(
OR($C35="Saturday",$C35="Sunday"),
TEXT($H35,"[tt]:mm"),
IF($H35-$V$8&gt;=0,TEXT($H35-$V$8,"[tt]:mm"),"-"&amp;TEXT(ABS($H35-$V$8),"[tt]:mm"))
),
IF(
OR($C35="Saturday",$C35="Sunday"),
IF($J35-$I35&gt;=0,TEXT($J35-$I35,"[tt]:mm"),"-"&amp;TEXT(ABS($J35-$I35),"[tt]:mm")),
IFERROR(
IF($G35-$V$8=0,
IF($G35-$V$8&gt;=0,TEXT($G35-$V$8,"[tt]:mm"),"-"&amp;TEXT(ABS($G35-$V$8),"[tt]:mm")),
IF($J35-$I35&gt;=0,TEXT($J35-$I35,"[tt]:mm"),"-"&amp;TEXT(ABS($J35-$I35),"[tt]:mm"))
),
IF(
$J35-$I35-$V$8&gt;=0,
TEXT($J35-$I35-$V$8,"[tt]:mm"),
"-"&amp;TEXT(ABS($J35-$I35-$V$8),"[tt]:mm")
)
)
)
)
))</f>
        <v>0:00</v>
      </c>
      <c r="L35" s="94" t="str">
        <f t="shared" si="3"/>
        <v>0</v>
      </c>
      <c r="M35" s="95" t="str">
        <f t="shared" si="4"/>
        <v>0:</v>
      </c>
      <c r="N35" s="96" t="str">
        <f t="shared" si="5"/>
        <v>0</v>
      </c>
      <c r="O35" s="97">
        <f t="shared" si="6"/>
        <v>0</v>
      </c>
      <c r="P35" s="90">
        <f t="shared" si="7"/>
        <v>0</v>
      </c>
      <c r="Q35" s="69"/>
    </row>
    <row r="36" spans="1:17" ht="15.75" x14ac:dyDescent="0.25">
      <c r="A36" s="98">
        <f t="shared" si="1"/>
        <v>44</v>
      </c>
      <c r="B36" s="99">
        <f t="shared" si="8"/>
        <v>45595</v>
      </c>
      <c r="C36" s="100" t="str" cm="1">
        <f t="array" ref="C36">_xlfn.SWITCH(WEEKDAY($D36, 2), 1, "Monday", 2, "Tuesday", 3, "Wednesday", 4, "Thursday", 5, "Friday", 6, "Saturday", 7, "Sunday")</f>
        <v>Wednesday</v>
      </c>
      <c r="D36" s="88">
        <f t="shared" si="0"/>
        <v>4</v>
      </c>
      <c r="E36" s="92">
        <f t="shared" si="2"/>
        <v>45595</v>
      </c>
      <c r="F36" s="15" t="s">
        <v>21</v>
      </c>
      <c r="G36" s="87">
        <f>IFERROR(
    IF($F36="N", $V$8,
        IF(OR(
            AND(Masterdata!$B$4&lt;&gt;DATE(1900,1,0), Masterdata!$B$4&lt;$E36),
            AND(Masterdata!$B$3&lt;&gt;DATE(1900,1,0), Masterdata!$B$3&gt;$E36)
        ),
        IF($H36&gt;=TIME(0,0,0), "Write in the next field", 0),
        IF($H36&gt;=TIME(0,0,0), "Write in the next field",
            IF($H36&gt;=0, 0,
                IF(OR($C36="Saturday", $C36="Sunday"), 0, 0)
            )
        )
    )),
"Write in the next field")</f>
        <v>0.30833333333333335</v>
      </c>
      <c r="H36" s="16">
        <v>0</v>
      </c>
      <c r="I36" s="16">
        <v>0</v>
      </c>
      <c r="J36" s="16">
        <v>0</v>
      </c>
      <c r="K36" s="86" t="str">
        <f>IF(F36="N","0:00",IF(
OR(
AND(Masterdata!$B$4&lt;&gt;DATE(1900,1,0),Masterdata!$B$4&lt;$E36),
AND(Masterdata!$B$3&lt;&gt;DATE(1900,1,0),Masterdata!$B$3&gt;$E36)
),
"0:00",
IF(
$H36&gt;TIME(0,0,0),
IF(
OR($C36="Saturday",$C36="Sunday"),
TEXT($H36,"[tt]:mm"),
IF($H36-$V$8&gt;=0,TEXT($H36-$V$8,"[tt]:mm"),"-"&amp;TEXT(ABS($H36-$V$8),"[tt]:mm"))
),
IF(
OR($C36="Saturday",$C36="Sunday"),
IF($J36-$I36&gt;=0,TEXT($J36-$I36,"[tt]:mm"),"-"&amp;TEXT(ABS($J36-$I36),"[tt]:mm")),
IFERROR(
IF($G36-$V$8=0,
IF($G36-$V$8&gt;=0,TEXT($G36-$V$8,"[tt]:mm"),"-"&amp;TEXT(ABS($G36-$V$8),"[tt]:mm")),
IF($J36-$I36&gt;=0,TEXT($J36-$I36,"[tt]:mm"),"-"&amp;TEXT(ABS($J36-$I36),"[tt]:mm"))
),
IF(
$J36-$I36-$V$8&gt;=0,
TEXT($J36-$I36-$V$8,"[tt]:mm"),
"-"&amp;TEXT(ABS($J36-$I36-$V$8),"[tt]:mm")
)
)
)
)
))</f>
        <v>0:00</v>
      </c>
      <c r="L36" s="94" t="str">
        <f t="shared" si="3"/>
        <v>0</v>
      </c>
      <c r="M36" s="95" t="str">
        <f t="shared" si="4"/>
        <v>0:</v>
      </c>
      <c r="N36" s="96" t="str">
        <f t="shared" si="5"/>
        <v>0</v>
      </c>
      <c r="O36" s="97">
        <f t="shared" si="6"/>
        <v>0</v>
      </c>
      <c r="P36" s="90">
        <f t="shared" si="7"/>
        <v>0</v>
      </c>
      <c r="Q36" s="69"/>
    </row>
    <row r="37" spans="1:17" ht="15.75" x14ac:dyDescent="0.25">
      <c r="A37" s="98">
        <f t="shared" si="1"/>
        <v>44</v>
      </c>
      <c r="B37" s="99">
        <f t="shared" si="8"/>
        <v>45596</v>
      </c>
      <c r="C37" s="100" t="str" cm="1">
        <f t="array" ref="C37">_xlfn.SWITCH(WEEKDAY($D37, 2), 1, "Monday", 2, "Tuesday", 3, "Wednesday", 4, "Thursday", 5, "Friday", 6, "Saturday", 7, "Sunday")</f>
        <v>Thursday</v>
      </c>
      <c r="D37" s="88">
        <f t="shared" si="0"/>
        <v>5</v>
      </c>
      <c r="E37" s="92">
        <f t="shared" si="2"/>
        <v>45596</v>
      </c>
      <c r="F37" s="15" t="s">
        <v>21</v>
      </c>
      <c r="G37" s="87">
        <f>IFERROR(
    IF($F37="N", $V$8,
        IF(OR(
            AND(Masterdata!$B$4&lt;&gt;DATE(1900,1,0), Masterdata!$B$4&lt;$E37),
            AND(Masterdata!$B$3&lt;&gt;DATE(1900,1,0), Masterdata!$B$3&gt;$E37)
        ),
        IF($H37&gt;=TIME(0,0,0), "Write in the next field", 0),
        IF($H37&gt;=TIME(0,0,0), "Write in the next field",
            IF($H37&gt;=0, 0,
                IF(OR($C37="Saturday", $C37="Sunday"), 0, 0)
            )
        )
    )),
"Write in the next field")</f>
        <v>0.30833333333333335</v>
      </c>
      <c r="H37" s="16">
        <v>0</v>
      </c>
      <c r="I37" s="16">
        <v>0</v>
      </c>
      <c r="J37" s="16">
        <v>0</v>
      </c>
      <c r="K37" s="86" t="str">
        <f>IF(F37="N","0:00",IF(
OR(
AND(Masterdata!$B$4&lt;&gt;DATE(1900,1,0),Masterdata!$B$4&lt;$E37),
AND(Masterdata!$B$3&lt;&gt;DATE(1900,1,0),Masterdata!$B$3&gt;$E37)
),
"0:00",
IF(
$H37&gt;TIME(0,0,0),
IF(
OR($C37="Saturday",$C37="Sunday"),
TEXT($H37,"[tt]:mm"),
IF($H37-$V$8&gt;=0,TEXT($H37-$V$8,"[tt]:mm"),"-"&amp;TEXT(ABS($H37-$V$8),"[tt]:mm"))
),
IF(
OR($C37="Saturday",$C37="Sunday"),
IF($J37-$I37&gt;=0,TEXT($J37-$I37,"[tt]:mm"),"-"&amp;TEXT(ABS($J37-$I37),"[tt]:mm")),
IFERROR(
IF($G37-$V$8=0,
IF($G37-$V$8&gt;=0,TEXT($G37-$V$8,"[tt]:mm"),"-"&amp;TEXT(ABS($G37-$V$8),"[tt]:mm")),
IF($J37-$I37&gt;=0,TEXT($J37-$I37,"[tt]:mm"),"-"&amp;TEXT(ABS($J37-$I37),"[tt]:mm"))
),
IF(
$J37-$I37-$V$8&gt;=0,
TEXT($J37-$I37-$V$8,"[tt]:mm"),
"-"&amp;TEXT(ABS($J37-$I37-$V$8),"[tt]:mm")
)
)
)
)
))</f>
        <v>0:00</v>
      </c>
      <c r="L37" s="94" t="str">
        <f t="shared" si="3"/>
        <v>0</v>
      </c>
      <c r="M37" s="95" t="str">
        <f t="shared" si="4"/>
        <v>0:</v>
      </c>
      <c r="N37" s="96" t="str">
        <f t="shared" si="5"/>
        <v>0</v>
      </c>
      <c r="O37" s="97">
        <f t="shared" si="6"/>
        <v>0</v>
      </c>
      <c r="P37" s="90">
        <f t="shared" si="7"/>
        <v>0</v>
      </c>
      <c r="Q37" s="69"/>
    </row>
    <row r="38" spans="1:17" x14ac:dyDescent="0.25">
      <c r="K38" s="89"/>
      <c r="P38" s="90">
        <f>SUM(P7:P37)</f>
        <v>0</v>
      </c>
    </row>
  </sheetData>
  <sheetProtection algorithmName="SHA-512" hashValue="97b3P27hajF0P5gcLRx7TSdQRfVcpqV6XYOsQvz7Xf7fzTmxrAuHWVfoSWuLMGomjBD/r7SDo1c5dRHk46+xpQ==" saltValue="G5/2gBIS00TouRuYDlyEqg==" spinCount="100000" sheet="1" objects="1" scenarios="1"/>
  <conditionalFormatting sqref="A7:G37">
    <cfRule type="expression" dxfId="18" priority="1">
      <formula>OR($C7="Saturday", $C7="Sunday")</formula>
    </cfRule>
  </conditionalFormatting>
  <conditionalFormatting sqref="G7:G10">
    <cfRule type="expression" dxfId="17" priority="2">
      <formula>AND($F7="N", NOT(OR($C7="Saturday", $C7="Sunday")))</formula>
    </cfRule>
  </conditionalFormatting>
  <conditionalFormatting sqref="G13:G37">
    <cfRule type="expression" dxfId="16" priority="14">
      <formula>AND($F13="N", NOT(OR($C13="Saturday", $C13="Sunday")))</formula>
    </cfRule>
  </conditionalFormatting>
  <conditionalFormatting sqref="H7:J37">
    <cfRule type="expression" dxfId="15" priority="148">
      <formula>OR($F7="N")</formula>
    </cfRule>
    <cfRule type="expression" dxfId="14" priority="150">
      <formula>$F7="R"</formula>
    </cfRule>
  </conditionalFormatting>
  <dataValidations count="1">
    <dataValidation type="list" allowBlank="1" showInputMessage="1" showErrorMessage="1" sqref="F7:F37" xr:uid="{03C939C7-7927-4ED1-A402-9DE0B13C5D4B}">
      <formula1>$Q$2:$Q$3</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8DD1-3781-4EDD-8EC9-673E5F3E14CA}">
  <dimension ref="A1:X37"/>
  <sheetViews>
    <sheetView zoomScale="70" zoomScaleNormal="70" workbookViewId="0">
      <selection activeCell="R24" sqref="R24"/>
    </sheetView>
  </sheetViews>
  <sheetFormatPr defaultRowHeight="15" outlineLevelCol="1" x14ac:dyDescent="0.25"/>
  <cols>
    <col min="1" max="1" width="20.85546875" bestFit="1" customWidth="1"/>
    <col min="2" max="2" width="14.140625" customWidth="1"/>
    <col min="3" max="3" width="11.28515625" customWidth="1"/>
    <col min="4" max="4" width="15" hidden="1" customWidth="1"/>
    <col min="5" max="5" width="12.85546875" hidden="1" customWidth="1"/>
    <col min="6" max="6" width="11.28515625" customWidth="1"/>
    <col min="7" max="8" width="20.85546875" bestFit="1" customWidth="1"/>
    <col min="9" max="10" width="11.28515625" customWidth="1"/>
    <col min="11" max="11" width="17.28515625" bestFit="1" customWidth="1"/>
    <col min="12" max="16" width="12.7109375" hidden="1" customWidth="1" outlineLevel="1"/>
    <col min="17" max="17" width="28.710937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36" t="str">
        <f>Masterdata!B13</f>
        <v>Standard work hours</v>
      </c>
      <c r="B1" s="37">
        <v>37</v>
      </c>
      <c r="Q1" s="45" t="s">
        <v>84</v>
      </c>
      <c r="R1" s="46" t="s">
        <v>85</v>
      </c>
    </row>
    <row r="2" spans="1:24" ht="30.75" x14ac:dyDescent="0.25">
      <c r="A2" s="34" t="s">
        <v>79</v>
      </c>
      <c r="B2" s="84" t="str">
        <f>IF(P37&lt;0,"-"&amp;TEXT(ABS(P37/24),"[TT]:mm"),TEXT(P37/24,"[TT]:mm"))</f>
        <v>00:00</v>
      </c>
      <c r="Q2" s="47" t="s">
        <v>21</v>
      </c>
      <c r="R2" s="49" t="s">
        <v>86</v>
      </c>
    </row>
    <row r="3" spans="1:24" ht="63" x14ac:dyDescent="0.25">
      <c r="A3" s="39" t="s">
        <v>72</v>
      </c>
      <c r="B3" s="40">
        <f>B7</f>
        <v>45597</v>
      </c>
      <c r="Q3" s="48" t="s">
        <v>23</v>
      </c>
      <c r="R3" s="85" t="s">
        <v>97</v>
      </c>
    </row>
    <row r="4" spans="1:24" ht="16.5" thickBot="1" x14ac:dyDescent="0.3">
      <c r="A4" s="35" t="s">
        <v>81</v>
      </c>
      <c r="B4" s="41" t="s">
        <v>15</v>
      </c>
      <c r="Q4" s="44" t="s">
        <v>87</v>
      </c>
      <c r="R4" s="43" t="s">
        <v>88</v>
      </c>
    </row>
    <row r="5" spans="1:24" ht="15.75" thickBot="1" x14ac:dyDescent="0.3"/>
    <row r="6" spans="1:24" ht="21.75" customHeight="1" thickBot="1" x14ac:dyDescent="0.3">
      <c r="A6" s="9" t="s">
        <v>89</v>
      </c>
      <c r="B6" s="10" t="s">
        <v>90</v>
      </c>
      <c r="C6" s="10" t="s">
        <v>91</v>
      </c>
      <c r="D6" s="10" t="s">
        <v>30</v>
      </c>
      <c r="E6" s="10" t="s">
        <v>31</v>
      </c>
      <c r="F6" s="10" t="s">
        <v>84</v>
      </c>
      <c r="G6" s="10" t="s">
        <v>77</v>
      </c>
      <c r="H6" s="10" t="s">
        <v>92</v>
      </c>
      <c r="I6" s="11" t="s">
        <v>34</v>
      </c>
      <c r="J6" s="11" t="s">
        <v>93</v>
      </c>
      <c r="K6" s="10" t="s">
        <v>94</v>
      </c>
      <c r="L6" s="55" t="s">
        <v>37</v>
      </c>
      <c r="M6" s="56" t="s">
        <v>38</v>
      </c>
      <c r="N6" s="56" t="s">
        <v>39</v>
      </c>
      <c r="O6" s="56"/>
      <c r="Q6" s="10" t="s">
        <v>95</v>
      </c>
      <c r="U6" t="s">
        <v>41</v>
      </c>
      <c r="V6">
        <v>5</v>
      </c>
    </row>
    <row r="7" spans="1:24" ht="15.75" x14ac:dyDescent="0.25">
      <c r="A7" s="12">
        <f>WEEKNUM($B7,21)</f>
        <v>44</v>
      </c>
      <c r="B7" s="13">
        <f>DATE(Masterdata!$B$5,11,1)</f>
        <v>45597</v>
      </c>
      <c r="C7" s="14" t="str" cm="1">
        <f t="array" ref="C7">_xlfn.SWITCH(WEEKDAY($D7, 2), 1, "Monday", 2, "Tuesday", 3, "Wednesday", 4, "Thursday", 5, "Friday", 6, "Saturday", 7, "Sunday")</f>
        <v>Friday</v>
      </c>
      <c r="D7">
        <f t="shared" ref="D7:D36" si="0">WEEKDAY($B7, 2)+1</f>
        <v>6</v>
      </c>
      <c r="E7" s="42">
        <f>$B7</f>
        <v>45597</v>
      </c>
      <c r="F7" s="15" t="s">
        <v>21</v>
      </c>
      <c r="G7" s="17">
        <f>IFERROR(
    IF($F7="N", $V$8,
        IF(OR(
            AND(Masterdata!$B$4&lt;&gt;DATE(1900,1,0), Masterdata!$B$4&lt;$E7),
            AND(Masterdata!$B$3&lt;&gt;DATE(1900,1,0), Masterdata!$B$3&gt;$E7)
        ),
        IF($H7&gt;=TIME(0,0,0), "Write in the next field", 0),
        IF($H7&gt;=TIME(0,0,0), "Write in the next field",
            IF($H7&gt;=0, 0,
                IF(OR($C7="Saturday", $C7="Sunday"), 0, 0)
            )
        )
    )),
"Write in the next field")</f>
        <v>0.30833333333333335</v>
      </c>
      <c r="H7" s="16">
        <v>0</v>
      </c>
      <c r="I7" s="16">
        <v>0</v>
      </c>
      <c r="J7" s="16">
        <v>0</v>
      </c>
      <c r="K7" s="63" t="str">
        <f>IF(F7="N","0:00",IF(
OR(
AND(Masterdata!$B$4&lt;&gt;DATE(1900,1,0),Masterdata!$B$4&lt;$E7),
AND(Masterdata!$B$3&lt;&gt;DATE(1900,1,0),Masterdata!$B$3&gt;$E7)
),
"0:00",
IF(
$H7&gt;TIME(0,0,0),
IF(
OR($C7="Saturday",$C7="Sunday"),
TEXT($H7,"[tt]:mm"),
IF($H7-$V$8&gt;=0,TEXT($H7-$V$8,"[tt]:mm"),"-"&amp;TEXT(ABS($H7-$V$8),"[tt]:mm"))
),
IF(
OR($C7="Saturday",$C7="Sunday"),
IF($J7-$I7&gt;=0,TEXT($J7-$I7,"[tt]:mm"),"-"&amp;TEXT(ABS($J7-$I7),"[tt]:mm")),
IFERROR(
IF($G7-$V$8=0,
IF($G7-$V$8&gt;=0,TEXT($G7-$V$8,"[tt]:mm"),"-"&amp;TEXT(ABS($G7-$V$8),"[tt]:mm")),
IF($J7-$I7&gt;=0,TEXT($J7-$I7,"[tt]:mm"),"-"&amp;TEXT(ABS($J7-$I7),"[tt]:mm"))
),
IF(
$J7-$I7-$V$8&gt;=0,
TEXT($J7-$I7-$V$8,"[tt]:mm"),
"-"&amp;TEXT(ABS($J7-$I7-$V$8),"[tt]:mm")
)
)
)
)
))</f>
        <v>0:00</v>
      </c>
      <c r="L7" s="54" t="str">
        <f>LEFT(K7,1)</f>
        <v>0</v>
      </c>
      <c r="M7" s="58" t="str">
        <f>IF($L7="-",LEFT($K7,3),LEFT($K7,2))</f>
        <v>0:</v>
      </c>
      <c r="N7" s="51" t="str">
        <f>IF($L7="-",MID($K7,5,2),MID($K7,4,2))</f>
        <v>0</v>
      </c>
      <c r="O7" s="57">
        <f>N7/60</f>
        <v>0</v>
      </c>
      <c r="P7" s="6">
        <f>IF(L7="-",M7-O7,M7+O7)</f>
        <v>0</v>
      </c>
      <c r="Q7" s="68"/>
      <c r="R7" s="53"/>
      <c r="U7" t="s">
        <v>42</v>
      </c>
      <c r="V7" s="3">
        <f>B1/V6</f>
        <v>7.4</v>
      </c>
      <c r="W7">
        <v>0</v>
      </c>
      <c r="X7" s="8"/>
    </row>
    <row r="8" spans="1:24" ht="15.75" x14ac:dyDescent="0.25">
      <c r="A8" s="12">
        <f t="shared" ref="A8:A36" si="1">WEEKNUM($B8,21)</f>
        <v>44</v>
      </c>
      <c r="B8" s="13">
        <f>B7+1</f>
        <v>45598</v>
      </c>
      <c r="C8" s="14" t="str" cm="1">
        <f t="array" ref="C8">_xlfn.SWITCH(WEEKDAY($D8, 2), 1, "Monday", 2, "Tuesday", 3, "Wednesday", 4, "Thursday", 5, "Friday", 6, "Saturday", 7, "Sunday")</f>
        <v>Saturday</v>
      </c>
      <c r="D8">
        <f t="shared" si="0"/>
        <v>7</v>
      </c>
      <c r="E8" s="42">
        <f t="shared" ref="E8:E36" si="2">$B8</f>
        <v>45598</v>
      </c>
      <c r="F8" s="15" t="s">
        <v>21</v>
      </c>
      <c r="G8" s="17">
        <f>IF($F8="N",0,"Write in the next field")</f>
        <v>0</v>
      </c>
      <c r="H8" s="16">
        <v>0</v>
      </c>
      <c r="I8" s="16">
        <v>0</v>
      </c>
      <c r="J8" s="16">
        <v>0</v>
      </c>
      <c r="K8" s="63" t="str">
        <f>IF(F8="N","0:00",IF(
OR(
AND(Masterdata!$B$4&lt;&gt;DATE(1900,1,0),Masterdata!$B$4&lt;$E8),
AND(Masterdata!$B$3&lt;&gt;DATE(1900,1,0),Masterdata!$B$3&gt;$E8)
),
"0:00",
IF(
$H8&gt;TIME(0,0,0),
IF(
OR($C8="Saturday",$C8="Sunday"),
TEXT($H8,"[tt]:mm"),
IF($H8-$V$8&gt;=0,TEXT($H8-$V$8,"[tt]:mm"),"-"&amp;TEXT(ABS($H8-$V$8),"[tt]:mm"))
),
IF(
OR($C8="Saturday",$C8="Sunday"),
IF($J8-$I8&gt;=0,TEXT($J8-$I8,"[tt]:mm"),"-"&amp;TEXT(ABS($J8-$I8),"[tt]:mm")),
IFERROR(
IF($G8-$V$8=0,
IF($G8-$V$8&gt;=0,TEXT($G8-$V$8,"[tt]:mm"),"-"&amp;TEXT(ABS($G8-$V$8),"[tt]:mm")),
IF($J8-$I8&gt;=0,TEXT($J8-$I8,"[tt]:mm"),"-"&amp;TEXT(ABS($J8-$I8),"[tt]:mm"))
),
IF(
$J8-$I8-$V$8&gt;=0,
TEXT($J8-$I8-$V$8,"[tt]:mm"),
"-"&amp;TEXT(ABS($J8-$I8-$V$8),"[tt]:mm")
)
)
)
)
))</f>
        <v>0:00</v>
      </c>
      <c r="L8" s="54" t="str">
        <f t="shared" ref="L8:L36" si="3">LEFT(K8,1)</f>
        <v>0</v>
      </c>
      <c r="M8" s="58" t="str">
        <f t="shared" ref="M8:M36" si="4">IF($L8="-",LEFT($K8,3),LEFT($K8,2))</f>
        <v>0:</v>
      </c>
      <c r="N8" s="51" t="str">
        <f t="shared" ref="N8:N36" si="5">IF($L8="-",MID($K8,5,2),MID($K8,4,2))</f>
        <v>0</v>
      </c>
      <c r="O8" s="57">
        <f t="shared" ref="O8:O36" si="6">N8/60</f>
        <v>0</v>
      </c>
      <c r="P8" s="6">
        <f t="shared" ref="P8:P36" si="7">IF(L8="-",M8-O8,M8+O8)</f>
        <v>0</v>
      </c>
      <c r="Q8" s="69"/>
      <c r="U8" t="s">
        <v>43</v>
      </c>
      <c r="V8" s="8">
        <f>V7/24</f>
        <v>0.30833333333333335</v>
      </c>
    </row>
    <row r="9" spans="1:24" ht="15.75" x14ac:dyDescent="0.25">
      <c r="A9" s="12">
        <f t="shared" si="1"/>
        <v>44</v>
      </c>
      <c r="B9" s="13">
        <f t="shared" ref="B9:B36" si="8">B8+1</f>
        <v>45599</v>
      </c>
      <c r="C9" s="14" t="str" cm="1">
        <f t="array" ref="C9">_xlfn.SWITCH(WEEKDAY($D9, 2), 1, "Monday", 2, "Tuesday", 3, "Wednesday", 4, "Thursday", 5, "Friday", 6, "Saturday", 7, "Sunday")</f>
        <v>Sunday</v>
      </c>
      <c r="D9">
        <f t="shared" si="0"/>
        <v>8</v>
      </c>
      <c r="E9" s="42">
        <f t="shared" si="2"/>
        <v>45599</v>
      </c>
      <c r="F9" s="15" t="s">
        <v>21</v>
      </c>
      <c r="G9" s="17">
        <f>IF($F9="N",0,"Write in the next field")</f>
        <v>0</v>
      </c>
      <c r="H9" s="16">
        <v>0</v>
      </c>
      <c r="I9" s="16">
        <v>0</v>
      </c>
      <c r="J9" s="16">
        <v>0</v>
      </c>
      <c r="K9" s="63" t="str">
        <f>IF(F9="N","0:00",IF(
OR(
AND(Masterdata!$B$4&lt;&gt;DATE(1900,1,0),Masterdata!$B$4&lt;$E9),
AND(Masterdata!$B$3&lt;&gt;DATE(1900,1,0),Masterdata!$B$3&gt;$E9)
),
"0:00",
IF(
$H9&gt;TIME(0,0,0),
IF(
OR($C9="Saturday",$C9="Sunday"),
TEXT($H9,"[tt]:mm"),
IF($H9-$V$8&gt;=0,TEXT($H9-$V$8,"[tt]:mm"),"-"&amp;TEXT(ABS($H9-$V$8),"[tt]:mm"))
),
IF(
OR($C9="Saturday",$C9="Sunday"),
IF($J9-$I9&gt;=0,TEXT($J9-$I9,"[tt]:mm"),"-"&amp;TEXT(ABS($J9-$I9),"[tt]:mm")),
IFERROR(
IF($G9-$V$8=0,
IF($G9-$V$8&gt;=0,TEXT($G9-$V$8,"[tt]:mm"),"-"&amp;TEXT(ABS($G9-$V$8),"[tt]:mm")),
IF($J9-$I9&gt;=0,TEXT($J9-$I9,"[tt]:mm"),"-"&amp;TEXT(ABS($J9-$I9),"[tt]:mm"))
),
IF(
$J9-$I9-$V$8&gt;=0,
TEXT($J9-$I9-$V$8,"[tt]:mm"),
"-"&amp;TEXT(ABS($J9-$I9-$V$8),"[tt]:mm")
)
)
)
)
))</f>
        <v>0:00</v>
      </c>
      <c r="L9" s="54" t="str">
        <f t="shared" si="3"/>
        <v>0</v>
      </c>
      <c r="M9" s="58" t="str">
        <f t="shared" si="4"/>
        <v>0:</v>
      </c>
      <c r="N9" s="51" t="str">
        <f t="shared" si="5"/>
        <v>0</v>
      </c>
      <c r="O9" s="57">
        <f t="shared" si="6"/>
        <v>0</v>
      </c>
      <c r="P9" s="6">
        <f t="shared" si="7"/>
        <v>0</v>
      </c>
      <c r="Q9" s="69"/>
      <c r="S9" t="s">
        <v>21</v>
      </c>
      <c r="T9" t="s">
        <v>44</v>
      </c>
      <c r="U9" t="s">
        <v>45</v>
      </c>
      <c r="V9" s="6">
        <f>(B1/37)*160.33</f>
        <v>160.33000000000001</v>
      </c>
    </row>
    <row r="10" spans="1:24" ht="15.75" x14ac:dyDescent="0.25">
      <c r="A10" s="12">
        <f t="shared" si="1"/>
        <v>45</v>
      </c>
      <c r="B10" s="13">
        <f t="shared" si="8"/>
        <v>45600</v>
      </c>
      <c r="C10" s="14" t="str" cm="1">
        <f t="array" ref="C10">_xlfn.SWITCH(WEEKDAY($D10, 2), 1, "Monday", 2, "Tuesday", 3, "Wednesday", 4, "Thursday", 5, "Friday", 6, "Saturday", 7, "Sunday")</f>
        <v>Monday</v>
      </c>
      <c r="D10">
        <f t="shared" si="0"/>
        <v>2</v>
      </c>
      <c r="E10" s="42">
        <f t="shared" si="2"/>
        <v>45600</v>
      </c>
      <c r="F10" s="15" t="s">
        <v>21</v>
      </c>
      <c r="G10" s="17">
        <f>IFERROR(
    IF($F10="N", $V$8,
        IF(OR(
            AND(Masterdata!$B$4&lt;&gt;DATE(1900,1,0), Masterdata!$B$4&lt;$E10),
            AND(Masterdata!$B$3&lt;&gt;DATE(1900,1,0), Masterdata!$B$3&gt;$E10)
        ),
        IF($H10&gt;=TIME(0,0,0), "Write in the next field", 0),
        IF($H10&gt;=TIME(0,0,0), "Write in the next field",
            IF($H10&gt;=0, 0,
                IF(OR($C10="Saturday", $C10="Sunday"), 0, 0)
            )
        )
    )),
"Write in the next field")</f>
        <v>0.30833333333333335</v>
      </c>
      <c r="H10" s="16">
        <v>0</v>
      </c>
      <c r="I10" s="16">
        <v>0</v>
      </c>
      <c r="J10" s="16">
        <v>0</v>
      </c>
      <c r="K10" s="63" t="str">
        <f>IF(F10="N","0:00",IF(
OR(
AND(Masterdata!$B$4&lt;&gt;DATE(1900,1,0),Masterdata!$B$4&lt;$E10),
AND(Masterdata!$B$3&lt;&gt;DATE(1900,1,0),Masterdata!$B$3&gt;$E10)
),
"0:00",
IF(
$H10&gt;TIME(0,0,0),
IF(
OR($C10="Saturday",$C10="Sunday"),
TEXT($H10,"[tt]:mm"),
IF($H10-$V$8&gt;=0,TEXT($H10-$V$8,"[tt]:mm"),"-"&amp;TEXT(ABS($H10-$V$8),"[tt]:mm"))
),
IF(
OR($C10="Saturday",$C10="Sunday"),
IF($J10-$I10&gt;=0,TEXT($J10-$I10,"[tt]:mm"),"-"&amp;TEXT(ABS($J10-$I10),"[tt]:mm")),
IFERROR(
IF($G10-$V$8=0,
IF($G10-$V$8&gt;=0,TEXT($G10-$V$8,"[tt]:mm"),"-"&amp;TEXT(ABS($G10-$V$8),"[tt]:mm")),
IF($J10-$I10&gt;=0,TEXT($J10-$I10,"[tt]:mm"),"-"&amp;TEXT(ABS($J10-$I10),"[tt]:mm"))
),
IF(
$J10-$I10-$V$8&gt;=0,
TEXT($J10-$I10-$V$8,"[tt]:mm"),
"-"&amp;TEXT(ABS($J10-$I10-$V$8),"[tt]:mm")
)
)
)
)
))</f>
        <v>0:00</v>
      </c>
      <c r="L10" s="54" t="str">
        <f t="shared" si="3"/>
        <v>0</v>
      </c>
      <c r="M10" s="58" t="str">
        <f t="shared" si="4"/>
        <v>0:</v>
      </c>
      <c r="N10" s="51" t="str">
        <f t="shared" si="5"/>
        <v>0</v>
      </c>
      <c r="O10" s="57">
        <f t="shared" si="6"/>
        <v>0</v>
      </c>
      <c r="P10" s="6">
        <f t="shared" si="7"/>
        <v>0</v>
      </c>
      <c r="Q10" s="69"/>
    </row>
    <row r="11" spans="1:24" ht="15.75" x14ac:dyDescent="0.25">
      <c r="A11" s="12">
        <f t="shared" si="1"/>
        <v>45</v>
      </c>
      <c r="B11" s="13">
        <f t="shared" si="8"/>
        <v>45601</v>
      </c>
      <c r="C11" s="14" t="str" cm="1">
        <f t="array" ref="C11">_xlfn.SWITCH(WEEKDAY($D11, 2), 1, "Monday", 2, "Tuesday", 3, "Wednesday", 4, "Thursday", 5, "Friday", 6, "Saturday", 7, "Sunday")</f>
        <v>Tuesday</v>
      </c>
      <c r="D11">
        <f t="shared" si="0"/>
        <v>3</v>
      </c>
      <c r="E11" s="42">
        <f t="shared" si="2"/>
        <v>45601</v>
      </c>
      <c r="F11" s="15" t="s">
        <v>21</v>
      </c>
      <c r="G11" s="17">
        <f>IFERROR(
    IF($F11="N", $V$8,
        IF(OR(
            AND(Masterdata!$B$4&lt;&gt;DATE(1900,1,0), Masterdata!$B$4&lt;$E11),
            AND(Masterdata!$B$3&lt;&gt;DATE(1900,1,0), Masterdata!$B$3&gt;$E11)
        ),
        IF($H11&gt;=TIME(0,0,0), "Write in the next field", 0),
        IF($H11&gt;=TIME(0,0,0), "Write in the next field",
            IF($H11&gt;=0, 0,
                IF(OR($C11="Saturday", $C11="Sunday"), 0, 0)
            )
        )
    )),
"Write in the next field")</f>
        <v>0.30833333333333335</v>
      </c>
      <c r="H11" s="16">
        <v>0</v>
      </c>
      <c r="I11" s="16">
        <v>0</v>
      </c>
      <c r="J11" s="16">
        <v>0</v>
      </c>
      <c r="K11" s="63" t="str">
        <f>IF(F11="N","0:00",IF(
OR(
AND(Masterdata!$B$4&lt;&gt;DATE(1900,1,0),Masterdata!$B$4&lt;$E11),
AND(Masterdata!$B$3&lt;&gt;DATE(1900,1,0),Masterdata!$B$3&gt;$E11)
),
"0:00",
IF(
$H11&gt;TIME(0,0,0),
IF(
OR($C11="Saturday",$C11="Sunday"),
TEXT($H11,"[tt]:mm"),
IF($H11-$V$8&gt;=0,TEXT($H11-$V$8,"[tt]:mm"),"-"&amp;TEXT(ABS($H11-$V$8),"[tt]:mm"))
),
IF(
OR($C11="Saturday",$C11="Sunday"),
IF($J11-$I11&gt;=0,TEXT($J11-$I11,"[tt]:mm"),"-"&amp;TEXT(ABS($J11-$I11),"[tt]:mm")),
IFERROR(
IF($G11-$V$8=0,
IF($G11-$V$8&gt;=0,TEXT($G11-$V$8,"[tt]:mm"),"-"&amp;TEXT(ABS($G11-$V$8),"[tt]:mm")),
IF($J11-$I11&gt;=0,TEXT($J11-$I11,"[tt]:mm"),"-"&amp;TEXT(ABS($J11-$I11),"[tt]:mm"))
),
IF(
$J11-$I11-$V$8&gt;=0,
TEXT($J11-$I11-$V$8,"[tt]:mm"),
"-"&amp;TEXT(ABS($J11-$I11-$V$8),"[tt]:mm")
)
)
)
)
))</f>
        <v>0:00</v>
      </c>
      <c r="L11" s="54" t="str">
        <f t="shared" si="3"/>
        <v>0</v>
      </c>
      <c r="M11" s="58" t="str">
        <f t="shared" si="4"/>
        <v>0:</v>
      </c>
      <c r="N11" s="51" t="str">
        <f t="shared" si="5"/>
        <v>0</v>
      </c>
      <c r="O11" s="57">
        <f t="shared" si="6"/>
        <v>0</v>
      </c>
      <c r="P11" s="6">
        <f t="shared" si="7"/>
        <v>0</v>
      </c>
      <c r="Q11" s="69"/>
      <c r="V11" s="6"/>
    </row>
    <row r="12" spans="1:24" ht="15.75" x14ac:dyDescent="0.25">
      <c r="A12" s="12">
        <f t="shared" si="1"/>
        <v>45</v>
      </c>
      <c r="B12" s="13">
        <f t="shared" si="8"/>
        <v>45602</v>
      </c>
      <c r="C12" s="14" t="str" cm="1">
        <f t="array" ref="C12">_xlfn.SWITCH(WEEKDAY($D12, 2), 1, "Monday", 2, "Tuesday", 3, "Wednesday", 4, "Thursday", 5, "Friday", 6, "Saturday", 7, "Sunday")</f>
        <v>Wednesday</v>
      </c>
      <c r="D12">
        <f t="shared" si="0"/>
        <v>4</v>
      </c>
      <c r="E12" s="42">
        <f t="shared" si="2"/>
        <v>45602</v>
      </c>
      <c r="F12" s="15" t="s">
        <v>21</v>
      </c>
      <c r="G12" s="17">
        <f>IFERROR(
    IF($F12="N", $V$8,
        IF(OR(
            AND(Masterdata!$B$4&lt;&gt;DATE(1900,1,0), Masterdata!$B$4&lt;$E12),
            AND(Masterdata!$B$3&lt;&gt;DATE(1900,1,0), Masterdata!$B$3&gt;$E12)
        ),
        IF($H12&gt;=TIME(0,0,0), "Write in the next field", 0),
        IF($H12&gt;=TIME(0,0,0), "Write in the next field",
            IF($H12&gt;=0, 0,
                IF(OR($C12="Saturday", $C12="Sunday"), 0, 0)
            )
        )
    )),
"Write in the next field")</f>
        <v>0.30833333333333335</v>
      </c>
      <c r="H12" s="16">
        <v>0</v>
      </c>
      <c r="I12" s="16">
        <v>0</v>
      </c>
      <c r="J12" s="16">
        <v>0</v>
      </c>
      <c r="K12" s="63" t="str">
        <f>IF(F12="N","0:00",IF(
OR(
AND(Masterdata!$B$4&lt;&gt;DATE(1900,1,0),Masterdata!$B$4&lt;$E12),
AND(Masterdata!$B$3&lt;&gt;DATE(1900,1,0),Masterdata!$B$3&gt;$E12)
),
"0:00",
IF(
$H12&gt;TIME(0,0,0),
IF(
OR($C12="Saturday",$C12="Sunday"),
TEXT($H12,"[tt]:mm"),
IF($H12-$V$8&gt;=0,TEXT($H12-$V$8,"[tt]:mm"),"-"&amp;TEXT(ABS($H12-$V$8),"[tt]:mm"))
),
IF(
OR($C12="Saturday",$C12="Sunday"),
IF($J12-$I12&gt;=0,TEXT($J12-$I12,"[tt]:mm"),"-"&amp;TEXT(ABS($J12-$I12),"[tt]:mm")),
IFERROR(
IF($G12-$V$8=0,
IF($G12-$V$8&gt;=0,TEXT($G12-$V$8,"[tt]:mm"),"-"&amp;TEXT(ABS($G12-$V$8),"[tt]:mm")),
IF($J12-$I12&gt;=0,TEXT($J12-$I12,"[tt]:mm"),"-"&amp;TEXT(ABS($J12-$I12),"[tt]:mm"))
),
IF(
$J12-$I12-$V$8&gt;=0,
TEXT($J12-$I12-$V$8,"[tt]:mm"),
"-"&amp;TEXT(ABS($J12-$I12-$V$8),"[tt]:mm")
)
)
)
)
))</f>
        <v>0:00</v>
      </c>
      <c r="L12" s="54" t="str">
        <f t="shared" si="3"/>
        <v>0</v>
      </c>
      <c r="M12" s="58" t="str">
        <f t="shared" si="4"/>
        <v>0:</v>
      </c>
      <c r="N12" s="51" t="str">
        <f t="shared" si="5"/>
        <v>0</v>
      </c>
      <c r="O12" s="57">
        <f t="shared" si="6"/>
        <v>0</v>
      </c>
      <c r="P12" s="6">
        <f t="shared" si="7"/>
        <v>0</v>
      </c>
      <c r="Q12" s="69"/>
      <c r="V12" s="38"/>
    </row>
    <row r="13" spans="1:24" ht="15.75" x14ac:dyDescent="0.25">
      <c r="A13" s="12">
        <f t="shared" si="1"/>
        <v>45</v>
      </c>
      <c r="B13" s="13">
        <f t="shared" si="8"/>
        <v>45603</v>
      </c>
      <c r="C13" s="14" t="str" cm="1">
        <f t="array" ref="C13">_xlfn.SWITCH(WEEKDAY($D13, 2), 1, "Monday", 2, "Tuesday", 3, "Wednesday", 4, "Thursday", 5, "Friday", 6, "Saturday", 7, "Sunday")</f>
        <v>Thursday</v>
      </c>
      <c r="D13">
        <f t="shared" si="0"/>
        <v>5</v>
      </c>
      <c r="E13" s="42">
        <f t="shared" si="2"/>
        <v>45603</v>
      </c>
      <c r="F13" s="15" t="s">
        <v>21</v>
      </c>
      <c r="G13" s="17">
        <f>IFERROR(
    IF($F13="N", $V$8,
        IF(OR(
            AND(Masterdata!$B$4&lt;&gt;DATE(1900,1,0), Masterdata!$B$4&lt;$E13),
            AND(Masterdata!$B$3&lt;&gt;DATE(1900,1,0), Masterdata!$B$3&gt;$E13)
        ),
        IF($H13&gt;=TIME(0,0,0), "Write in the next field", 0),
        IF($H13&gt;=TIME(0,0,0), "Write in the next field",
            IF($H13&gt;=0, 0,
                IF(OR($C13="Saturday", $C13="Sunday"), 0, 0)
            )
        )
    )),
"Write in the next field")</f>
        <v>0.30833333333333335</v>
      </c>
      <c r="H13" s="16">
        <v>0</v>
      </c>
      <c r="I13" s="16">
        <v>0</v>
      </c>
      <c r="J13" s="16">
        <v>0</v>
      </c>
      <c r="K13" s="63" t="str">
        <f>IF(F13="N","0:00",IF(
OR(
AND(Masterdata!$B$4&lt;&gt;DATE(1900,1,0),Masterdata!$B$4&lt;$E13),
AND(Masterdata!$B$3&lt;&gt;DATE(1900,1,0),Masterdata!$B$3&gt;$E13)
),
"0:00",
IF(
$H13&gt;TIME(0,0,0),
IF(
OR($C13="Saturday",$C13="Sunday"),
TEXT($H13,"[tt]:mm"),
IF($H13-$V$8&gt;=0,TEXT($H13-$V$8,"[tt]:mm"),"-"&amp;TEXT(ABS($H13-$V$8),"[tt]:mm"))
),
IF(
OR($C13="Saturday",$C13="Sunday"),
IF($J13-$I13&gt;=0,TEXT($J13-$I13,"[tt]:mm"),"-"&amp;TEXT(ABS($J13-$I13),"[tt]:mm")),
IFERROR(
IF($G13-$V$8=0,
IF($G13-$V$8&gt;=0,TEXT($G13-$V$8,"[tt]:mm"),"-"&amp;TEXT(ABS($G13-$V$8),"[tt]:mm")),
IF($J13-$I13&gt;=0,TEXT($J13-$I13,"[tt]:mm"),"-"&amp;TEXT(ABS($J13-$I13),"[tt]:mm"))
),
IF(
$J13-$I13-$V$8&gt;=0,
TEXT($J13-$I13-$V$8,"[tt]:mm"),
"-"&amp;TEXT(ABS($J13-$I13-$V$8),"[tt]:mm")
)
)
)
)
))</f>
        <v>0:00</v>
      </c>
      <c r="L13" s="54" t="str">
        <f t="shared" si="3"/>
        <v>0</v>
      </c>
      <c r="M13" s="58" t="str">
        <f t="shared" si="4"/>
        <v>0:</v>
      </c>
      <c r="N13" s="51" t="str">
        <f t="shared" si="5"/>
        <v>0</v>
      </c>
      <c r="O13" s="57">
        <f t="shared" si="6"/>
        <v>0</v>
      </c>
      <c r="P13" s="6">
        <f t="shared" si="7"/>
        <v>0</v>
      </c>
      <c r="Q13" s="69"/>
    </row>
    <row r="14" spans="1:24" ht="15.75" x14ac:dyDescent="0.25">
      <c r="A14" s="12">
        <f t="shared" si="1"/>
        <v>45</v>
      </c>
      <c r="B14" s="13">
        <f t="shared" si="8"/>
        <v>45604</v>
      </c>
      <c r="C14" s="14" t="str" cm="1">
        <f t="array" ref="C14">_xlfn.SWITCH(WEEKDAY($D14, 2), 1, "Monday", 2, "Tuesday", 3, "Wednesday", 4, "Thursday", 5, "Friday", 6, "Saturday", 7, "Sunday")</f>
        <v>Friday</v>
      </c>
      <c r="D14">
        <f t="shared" si="0"/>
        <v>6</v>
      </c>
      <c r="E14" s="42">
        <f t="shared" si="2"/>
        <v>45604</v>
      </c>
      <c r="F14" s="15" t="s">
        <v>21</v>
      </c>
      <c r="G14" s="17">
        <f>IFERROR(
    IF($F14="N", $V$8,
        IF(OR(
            AND(Masterdata!$B$4&lt;&gt;DATE(1900,1,0), Masterdata!$B$4&lt;$E14),
            AND(Masterdata!$B$3&lt;&gt;DATE(1900,1,0), Masterdata!$B$3&gt;$E14)
        ),
        IF($H14&gt;=TIME(0,0,0), "Write in the next field", 0),
        IF($H14&gt;=TIME(0,0,0), "Write in the next field",
            IF($H14&gt;=0, 0,
                IF(OR($C14="Saturday", $C14="Sunday"), 0, 0)
            )
        )
    )),
"Write in the next field")</f>
        <v>0.30833333333333335</v>
      </c>
      <c r="H14" s="16">
        <v>0</v>
      </c>
      <c r="I14" s="16">
        <v>0</v>
      </c>
      <c r="J14" s="16">
        <v>0</v>
      </c>
      <c r="K14" s="63" t="str">
        <f>IF(F14="N","0:00",IF(
OR(
AND(Masterdata!$B$4&lt;&gt;DATE(1900,1,0),Masterdata!$B$4&lt;$E14),
AND(Masterdata!$B$3&lt;&gt;DATE(1900,1,0),Masterdata!$B$3&gt;$E14)
),
"0:00",
IF(
$H14&gt;TIME(0,0,0),
IF(
OR($C14="Saturday",$C14="Sunday"),
TEXT($H14,"[tt]:mm"),
IF($H14-$V$8&gt;=0,TEXT($H14-$V$8,"[tt]:mm"),"-"&amp;TEXT(ABS($H14-$V$8),"[tt]:mm"))
),
IF(
OR($C14="Saturday",$C14="Sunday"),
IF($J14-$I14&gt;=0,TEXT($J14-$I14,"[tt]:mm"),"-"&amp;TEXT(ABS($J14-$I14),"[tt]:mm")),
IFERROR(
IF($G14-$V$8=0,
IF($G14-$V$8&gt;=0,TEXT($G14-$V$8,"[tt]:mm"),"-"&amp;TEXT(ABS($G14-$V$8),"[tt]:mm")),
IF($J14-$I14&gt;=0,TEXT($J14-$I14,"[tt]:mm"),"-"&amp;TEXT(ABS($J14-$I14),"[tt]:mm"))
),
IF(
$J14-$I14-$V$8&gt;=0,
TEXT($J14-$I14-$V$8,"[tt]:mm"),
"-"&amp;TEXT(ABS($J14-$I14-$V$8),"[tt]:mm")
)
)
)
)
))</f>
        <v>0:00</v>
      </c>
      <c r="L14" s="54" t="str">
        <f t="shared" si="3"/>
        <v>0</v>
      </c>
      <c r="M14" s="58" t="str">
        <f t="shared" si="4"/>
        <v>0:</v>
      </c>
      <c r="N14" s="51" t="str">
        <f t="shared" si="5"/>
        <v>0</v>
      </c>
      <c r="O14" s="57">
        <f t="shared" si="6"/>
        <v>0</v>
      </c>
      <c r="P14" s="6">
        <f t="shared" si="7"/>
        <v>0</v>
      </c>
      <c r="Q14" s="69"/>
      <c r="S14" t="s">
        <v>46</v>
      </c>
      <c r="T14" t="s">
        <v>47</v>
      </c>
      <c r="U14" t="s">
        <v>48</v>
      </c>
      <c r="V14" s="6">
        <f>V9-V12</f>
        <v>160.33000000000001</v>
      </c>
    </row>
    <row r="15" spans="1:24" ht="15.75" x14ac:dyDescent="0.25">
      <c r="A15" s="12">
        <f t="shared" si="1"/>
        <v>45</v>
      </c>
      <c r="B15" s="13">
        <f t="shared" si="8"/>
        <v>45605</v>
      </c>
      <c r="C15" s="14" t="str" cm="1">
        <f t="array" ref="C15">_xlfn.SWITCH(WEEKDAY($D15, 2), 1, "Monday", 2, "Tuesday", 3, "Wednesday", 4, "Thursday", 5, "Friday", 6, "Saturday", 7, "Sunday")</f>
        <v>Saturday</v>
      </c>
      <c r="D15">
        <f t="shared" si="0"/>
        <v>7</v>
      </c>
      <c r="E15" s="42">
        <f t="shared" si="2"/>
        <v>45605</v>
      </c>
      <c r="F15" s="15" t="s">
        <v>21</v>
      </c>
      <c r="G15" s="17">
        <f>IF($F15="N",0,"Write in the next field")</f>
        <v>0</v>
      </c>
      <c r="H15" s="16">
        <v>0</v>
      </c>
      <c r="I15" s="16">
        <v>0</v>
      </c>
      <c r="J15" s="16">
        <v>0</v>
      </c>
      <c r="K15" s="63" t="str">
        <f>IF(F15="N","0:00",IF(
OR(
AND(Masterdata!$B$4&lt;&gt;DATE(1900,1,0),Masterdata!$B$4&lt;$E15),
AND(Masterdata!$B$3&lt;&gt;DATE(1900,1,0),Masterdata!$B$3&gt;$E15)
),
"0:00",
IF(
$H15&gt;TIME(0,0,0),
IF(
OR($C15="Saturday",$C15="Sunday"),
TEXT($H15,"[tt]:mm"),
IF($H15-$V$8&gt;=0,TEXT($H15-$V$8,"[tt]:mm"),"-"&amp;TEXT(ABS($H15-$V$8),"[tt]:mm"))
),
IF(
OR($C15="Saturday",$C15="Sunday"),
IF($J15-$I15&gt;=0,TEXT($J15-$I15,"[tt]:mm"),"-"&amp;TEXT(ABS($J15-$I15),"[tt]:mm")),
IFERROR(
IF($G15-$V$8=0,
IF($G15-$V$8&gt;=0,TEXT($G15-$V$8,"[tt]:mm"),"-"&amp;TEXT(ABS($G15-$V$8),"[tt]:mm")),
IF($J15-$I15&gt;=0,TEXT($J15-$I15,"[tt]:mm"),"-"&amp;TEXT(ABS($J15-$I15),"[tt]:mm"))
),
IF(
$J15-$I15-$V$8&gt;=0,
TEXT($J15-$I15-$V$8,"[tt]:mm"),
"-"&amp;TEXT(ABS($J15-$I15-$V$8),"[tt]:mm")
)
)
)
)
))</f>
        <v>0:00</v>
      </c>
      <c r="L15" s="54" t="str">
        <f t="shared" si="3"/>
        <v>0</v>
      </c>
      <c r="M15" s="58" t="str">
        <f t="shared" si="4"/>
        <v>0:</v>
      </c>
      <c r="N15" s="51" t="str">
        <f t="shared" si="5"/>
        <v>0</v>
      </c>
      <c r="O15" s="57">
        <f t="shared" si="6"/>
        <v>0</v>
      </c>
      <c r="P15" s="6">
        <f t="shared" si="7"/>
        <v>0</v>
      </c>
      <c r="Q15" s="69"/>
      <c r="S15" t="s">
        <v>49</v>
      </c>
      <c r="T15" t="s">
        <v>50</v>
      </c>
      <c r="U15" t="s">
        <v>51</v>
      </c>
      <c r="V15" s="6" t="e">
        <f>SUM(#REF!)</f>
        <v>#REF!</v>
      </c>
    </row>
    <row r="16" spans="1:24" ht="15.75" x14ac:dyDescent="0.25">
      <c r="A16" s="12">
        <f t="shared" si="1"/>
        <v>45</v>
      </c>
      <c r="B16" s="13">
        <f t="shared" si="8"/>
        <v>45606</v>
      </c>
      <c r="C16" s="14" t="str" cm="1">
        <f t="array" ref="C16">_xlfn.SWITCH(WEEKDAY($D16, 2), 1, "Monday", 2, "Tuesday", 3, "Wednesday", 4, "Thursday", 5, "Friday", 6, "Saturday", 7, "Sunday")</f>
        <v>Sunday</v>
      </c>
      <c r="D16">
        <f t="shared" si="0"/>
        <v>8</v>
      </c>
      <c r="E16" s="42">
        <f t="shared" si="2"/>
        <v>45606</v>
      </c>
      <c r="F16" s="15" t="s">
        <v>21</v>
      </c>
      <c r="G16" s="17">
        <f>IF($F16="N",0,"Write in the next field")</f>
        <v>0</v>
      </c>
      <c r="H16" s="16">
        <v>0</v>
      </c>
      <c r="I16" s="16">
        <v>0</v>
      </c>
      <c r="J16" s="16">
        <v>0</v>
      </c>
      <c r="K16" s="63" t="str">
        <f>IF(F16="N","0:00",IF(
OR(
AND(Masterdata!$B$4&lt;&gt;DATE(1900,1,0),Masterdata!$B$4&lt;$E16),
AND(Masterdata!$B$3&lt;&gt;DATE(1900,1,0),Masterdata!$B$3&gt;$E16)
),
"0:00",
IF(
$H16&gt;TIME(0,0,0),
IF(
OR($C16="Saturday",$C16="Sunday"),
TEXT($H16,"[tt]:mm"),
IF($H16-$V$8&gt;=0,TEXT($H16-$V$8,"[tt]:mm"),"-"&amp;TEXT(ABS($H16-$V$8),"[tt]:mm"))
),
IF(
OR($C16="Saturday",$C16="Sunday"),
IF($J16-$I16&gt;=0,TEXT($J16-$I16,"[tt]:mm"),"-"&amp;TEXT(ABS($J16-$I16),"[tt]:mm")),
IFERROR(
IF($G16-$V$8=0,
IF($G16-$V$8&gt;=0,TEXT($G16-$V$8,"[tt]:mm"),"-"&amp;TEXT(ABS($G16-$V$8),"[tt]:mm")),
IF($J16-$I16&gt;=0,TEXT($J16-$I16,"[tt]:mm"),"-"&amp;TEXT(ABS($J16-$I16),"[tt]:mm"))
),
IF(
$J16-$I16-$V$8&gt;=0,
TEXT($J16-$I16-$V$8,"[tt]:mm"),
"-"&amp;TEXT(ABS($J16-$I16-$V$8),"[tt]:mm")
)
)
)
)
))</f>
        <v>0:00</v>
      </c>
      <c r="L16" s="54" t="str">
        <f t="shared" si="3"/>
        <v>0</v>
      </c>
      <c r="M16" s="58" t="str">
        <f t="shared" si="4"/>
        <v>0:</v>
      </c>
      <c r="N16" s="51" t="str">
        <f t="shared" si="5"/>
        <v>0</v>
      </c>
      <c r="O16" s="57">
        <f t="shared" si="6"/>
        <v>0</v>
      </c>
      <c r="P16" s="6">
        <f t="shared" si="7"/>
        <v>0</v>
      </c>
      <c r="Q16" s="69"/>
      <c r="S16" t="s">
        <v>23</v>
      </c>
      <c r="T16" t="s">
        <v>52</v>
      </c>
      <c r="U16" t="s">
        <v>53</v>
      </c>
      <c r="V16" s="6" t="e">
        <f>V14-V15</f>
        <v>#REF!</v>
      </c>
    </row>
    <row r="17" spans="1:21" ht="15.75" x14ac:dyDescent="0.25">
      <c r="A17" s="12">
        <f t="shared" si="1"/>
        <v>46</v>
      </c>
      <c r="B17" s="13">
        <f t="shared" si="8"/>
        <v>45607</v>
      </c>
      <c r="C17" s="14" t="str" cm="1">
        <f t="array" ref="C17">_xlfn.SWITCH(WEEKDAY($D17, 2), 1, "Monday", 2, "Tuesday", 3, "Wednesday", 4, "Thursday", 5, "Friday", 6, "Saturday", 7, "Sunday")</f>
        <v>Monday</v>
      </c>
      <c r="D17">
        <f t="shared" si="0"/>
        <v>2</v>
      </c>
      <c r="E17" s="42">
        <f t="shared" si="2"/>
        <v>45607</v>
      </c>
      <c r="F17" s="15" t="s">
        <v>21</v>
      </c>
      <c r="G17" s="17">
        <f>IFERROR(
    IF($F17="N", $V$8,
        IF(OR(
            AND(Masterdata!$B$4&lt;&gt;DATE(1900,1,0), Masterdata!$B$4&lt;$E17),
            AND(Masterdata!$B$3&lt;&gt;DATE(1900,1,0), Masterdata!$B$3&gt;$E17)
        ),
        IF($H17&gt;=TIME(0,0,0), "Write in the next field", 0),
        IF($H17&gt;=TIME(0,0,0), "Write in the next field",
            IF($H17&gt;=0, 0,
                IF(OR($C17="Saturday", $C17="Sunday"), 0, 0)
            )
        )
    )),
"Write in the next field")</f>
        <v>0.30833333333333335</v>
      </c>
      <c r="H17" s="16">
        <v>0</v>
      </c>
      <c r="I17" s="16">
        <v>0</v>
      </c>
      <c r="J17" s="16">
        <v>0</v>
      </c>
      <c r="K17" s="63" t="str">
        <f>IF(F17="N","0:00",IF(
OR(
AND(Masterdata!$B$4&lt;&gt;DATE(1900,1,0),Masterdata!$B$4&lt;$E17),
AND(Masterdata!$B$3&lt;&gt;DATE(1900,1,0),Masterdata!$B$3&gt;$E17)
),
"0:00",
IF(
$H17&gt;TIME(0,0,0),
IF(
OR($C17="Saturday",$C17="Sunday"),
TEXT($H17,"[tt]:mm"),
IF($H17-$V$8&gt;=0,TEXT($H17-$V$8,"[tt]:mm"),"-"&amp;TEXT(ABS($H17-$V$8),"[tt]:mm"))
),
IF(
OR($C17="Saturday",$C17="Sunday"),
IF($J17-$I17&gt;=0,TEXT($J17-$I17,"[tt]:mm"),"-"&amp;TEXT(ABS($J17-$I17),"[tt]:mm")),
IFERROR(
IF($G17-$V$8=0,
IF($G17-$V$8&gt;=0,TEXT($G17-$V$8,"[tt]:mm"),"-"&amp;TEXT(ABS($G17-$V$8),"[tt]:mm")),
IF($J17-$I17&gt;=0,TEXT($J17-$I17,"[tt]:mm"),"-"&amp;TEXT(ABS($J17-$I17),"[tt]:mm"))
),
IF(
$J17-$I17-$V$8&gt;=0,
TEXT($J17-$I17-$V$8,"[tt]:mm"),
"-"&amp;TEXT(ABS($J17-$I17-$V$8),"[tt]:mm")
)
)
)
)
))</f>
        <v>0:00</v>
      </c>
      <c r="L17" s="54" t="str">
        <f t="shared" si="3"/>
        <v>0</v>
      </c>
      <c r="M17" s="58" t="str">
        <f t="shared" si="4"/>
        <v>0:</v>
      </c>
      <c r="N17" s="51" t="str">
        <f t="shared" si="5"/>
        <v>0</v>
      </c>
      <c r="O17" s="57">
        <f t="shared" si="6"/>
        <v>0</v>
      </c>
      <c r="P17" s="6">
        <f t="shared" si="7"/>
        <v>0</v>
      </c>
      <c r="Q17" s="69"/>
      <c r="U17" s="42"/>
    </row>
    <row r="18" spans="1:21" ht="15.75" x14ac:dyDescent="0.25">
      <c r="A18" s="12">
        <f t="shared" si="1"/>
        <v>46</v>
      </c>
      <c r="B18" s="13">
        <f t="shared" si="8"/>
        <v>45608</v>
      </c>
      <c r="C18" s="14" t="str" cm="1">
        <f t="array" ref="C18">_xlfn.SWITCH(WEEKDAY($D18, 2), 1, "Monday", 2, "Tuesday", 3, "Wednesday", 4, "Thursday", 5, "Friday", 6, "Saturday", 7, "Sunday")</f>
        <v>Tuesday</v>
      </c>
      <c r="D18">
        <f t="shared" si="0"/>
        <v>3</v>
      </c>
      <c r="E18" s="42">
        <f t="shared" si="2"/>
        <v>45608</v>
      </c>
      <c r="F18" s="15" t="s">
        <v>21</v>
      </c>
      <c r="G18" s="17">
        <f>IFERROR(
    IF($F18="N", $V$8,
        IF(OR(
            AND(Masterdata!$B$4&lt;&gt;DATE(1900,1,0), Masterdata!$B$4&lt;$E18),
            AND(Masterdata!$B$3&lt;&gt;DATE(1900,1,0), Masterdata!$B$3&gt;$E18)
        ),
        IF($H18&gt;=TIME(0,0,0), "Write in the next field", 0),
        IF($H18&gt;=TIME(0,0,0), "Write in the next field",
            IF($H18&gt;=0, 0,
                IF(OR($C18="Saturday", $C18="Sunday"), 0, 0)
            )
        )
    )),
"Write in the next field")</f>
        <v>0.30833333333333335</v>
      </c>
      <c r="H18" s="16">
        <v>0</v>
      </c>
      <c r="I18" s="16">
        <v>0</v>
      </c>
      <c r="J18" s="16">
        <v>0</v>
      </c>
      <c r="K18" s="63" t="str">
        <f>IF(F18="N","0:00",IF(
OR(
AND(Masterdata!$B$4&lt;&gt;DATE(1900,1,0),Masterdata!$B$4&lt;$E18),
AND(Masterdata!$B$3&lt;&gt;DATE(1900,1,0),Masterdata!$B$3&gt;$E18)
),
"0:00",
IF(
$H18&gt;TIME(0,0,0),
IF(
OR($C18="Saturday",$C18="Sunday"),
TEXT($H18,"[tt]:mm"),
IF($H18-$V$8&gt;=0,TEXT($H18-$V$8,"[tt]:mm"),"-"&amp;TEXT(ABS($H18-$V$8),"[tt]:mm"))
),
IF(
OR($C18="Saturday",$C18="Sunday"),
IF($J18-$I18&gt;=0,TEXT($J18-$I18,"[tt]:mm"),"-"&amp;TEXT(ABS($J18-$I18),"[tt]:mm")),
IFERROR(
IF($G18-$V$8=0,
IF($G18-$V$8&gt;=0,TEXT($G18-$V$8,"[tt]:mm"),"-"&amp;TEXT(ABS($G18-$V$8),"[tt]:mm")),
IF($J18-$I18&gt;=0,TEXT($J18-$I18,"[tt]:mm"),"-"&amp;TEXT(ABS($J18-$I18),"[tt]:mm"))
),
IF(
$J18-$I18-$V$8&gt;=0,
TEXT($J18-$I18-$V$8,"[tt]:mm"),
"-"&amp;TEXT(ABS($J18-$I18-$V$8),"[tt]:mm")
)
)
)
)
))</f>
        <v>0:00</v>
      </c>
      <c r="L18" s="54" t="str">
        <f t="shared" si="3"/>
        <v>0</v>
      </c>
      <c r="M18" s="58" t="str">
        <f t="shared" si="4"/>
        <v>0:</v>
      </c>
      <c r="N18" s="51" t="str">
        <f t="shared" si="5"/>
        <v>0</v>
      </c>
      <c r="O18" s="57">
        <f t="shared" si="6"/>
        <v>0</v>
      </c>
      <c r="P18" s="6">
        <f t="shared" si="7"/>
        <v>0</v>
      </c>
      <c r="Q18" s="69"/>
      <c r="R18" s="52"/>
    </row>
    <row r="19" spans="1:21" ht="15.75" x14ac:dyDescent="0.25">
      <c r="A19" s="12">
        <f t="shared" si="1"/>
        <v>46</v>
      </c>
      <c r="B19" s="13">
        <f t="shared" si="8"/>
        <v>45609</v>
      </c>
      <c r="C19" s="14" t="str" cm="1">
        <f t="array" ref="C19">_xlfn.SWITCH(WEEKDAY($D19, 2), 1, "Monday", 2, "Tuesday", 3, "Wednesday", 4, "Thursday", 5, "Friday", 6, "Saturday", 7, "Sunday")</f>
        <v>Wednesday</v>
      </c>
      <c r="D19">
        <f t="shared" si="0"/>
        <v>4</v>
      </c>
      <c r="E19" s="42">
        <f t="shared" si="2"/>
        <v>45609</v>
      </c>
      <c r="F19" s="15" t="s">
        <v>21</v>
      </c>
      <c r="G19" s="17">
        <f>IFERROR(
    IF($F19="N", $V$8,
        IF(OR(
            AND(Masterdata!$B$4&lt;&gt;DATE(1900,1,0), Masterdata!$B$4&lt;$E19),
            AND(Masterdata!$B$3&lt;&gt;DATE(1900,1,0), Masterdata!$B$3&gt;$E19)
        ),
        IF($H19&gt;=TIME(0,0,0), "Write in the next field", 0),
        IF($H19&gt;=TIME(0,0,0), "Write in the next field",
            IF($H19&gt;=0, 0,
                IF(OR($C19="Saturday", $C19="Sunday"), 0, 0)
            )
        )
    )),
"Write in the next field")</f>
        <v>0.30833333333333335</v>
      </c>
      <c r="H19" s="16">
        <v>0</v>
      </c>
      <c r="I19" s="16">
        <v>0</v>
      </c>
      <c r="J19" s="16">
        <v>0</v>
      </c>
      <c r="K19" s="63" t="str">
        <f>IF(F19="N","0:00",IF(
OR(
AND(Masterdata!$B$4&lt;&gt;DATE(1900,1,0),Masterdata!$B$4&lt;$E19),
AND(Masterdata!$B$3&lt;&gt;DATE(1900,1,0),Masterdata!$B$3&gt;$E19)
),
"0:00",
IF(
$H19&gt;TIME(0,0,0),
IF(
OR($C19="Saturday",$C19="Sunday"),
TEXT($H19,"[tt]:mm"),
IF($H19-$V$8&gt;=0,TEXT($H19-$V$8,"[tt]:mm"),"-"&amp;TEXT(ABS($H19-$V$8),"[tt]:mm"))
),
IF(
OR($C19="Saturday",$C19="Sunday"),
IF($J19-$I19&gt;=0,TEXT($J19-$I19,"[tt]:mm"),"-"&amp;TEXT(ABS($J19-$I19),"[tt]:mm")),
IFERROR(
IF($G19-$V$8=0,
IF($G19-$V$8&gt;=0,TEXT($G19-$V$8,"[tt]:mm"),"-"&amp;TEXT(ABS($G19-$V$8),"[tt]:mm")),
IF($J19-$I19&gt;=0,TEXT($J19-$I19,"[tt]:mm"),"-"&amp;TEXT(ABS($J19-$I19),"[tt]:mm"))
),
IF(
$J19-$I19-$V$8&gt;=0,
TEXT($J19-$I19-$V$8,"[tt]:mm"),
"-"&amp;TEXT(ABS($J19-$I19-$V$8),"[tt]:mm")
)
)
)
)
))</f>
        <v>0:00</v>
      </c>
      <c r="L19" s="54" t="str">
        <f t="shared" si="3"/>
        <v>0</v>
      </c>
      <c r="M19" s="58" t="str">
        <f t="shared" si="4"/>
        <v>0:</v>
      </c>
      <c r="N19" s="51" t="str">
        <f t="shared" si="5"/>
        <v>0</v>
      </c>
      <c r="O19" s="57">
        <f t="shared" si="6"/>
        <v>0</v>
      </c>
      <c r="P19" s="6">
        <f t="shared" si="7"/>
        <v>0</v>
      </c>
      <c r="Q19" s="69"/>
    </row>
    <row r="20" spans="1:21" ht="15.75" x14ac:dyDescent="0.25">
      <c r="A20" s="12">
        <f t="shared" si="1"/>
        <v>46</v>
      </c>
      <c r="B20" s="13">
        <f t="shared" si="8"/>
        <v>45610</v>
      </c>
      <c r="C20" s="14" t="str" cm="1">
        <f t="array" ref="C20">_xlfn.SWITCH(WEEKDAY($D20, 2), 1, "Monday", 2, "Tuesday", 3, "Wednesday", 4, "Thursday", 5, "Friday", 6, "Saturday", 7, "Sunday")</f>
        <v>Thursday</v>
      </c>
      <c r="D20">
        <f t="shared" si="0"/>
        <v>5</v>
      </c>
      <c r="E20" s="42">
        <f t="shared" si="2"/>
        <v>45610</v>
      </c>
      <c r="F20" s="15" t="s">
        <v>21</v>
      </c>
      <c r="G20" s="17">
        <f>IFERROR(
    IF($F20="N", $V$8,
        IF(OR(
            AND(Masterdata!$B$4&lt;&gt;DATE(1900,1,0), Masterdata!$B$4&lt;$E20),
            AND(Masterdata!$B$3&lt;&gt;DATE(1900,1,0), Masterdata!$B$3&gt;$E20)
        ),
        IF($H20&gt;=TIME(0,0,0), "Write in the next field", 0),
        IF($H20&gt;=TIME(0,0,0), "Write in the next field",
            IF($H20&gt;=0, 0,
                IF(OR($C20="Saturday", $C20="Sunday"), 0, 0)
            )
        )
    )),
"Write in the next field")</f>
        <v>0.30833333333333335</v>
      </c>
      <c r="H20" s="16">
        <v>0</v>
      </c>
      <c r="I20" s="16">
        <v>0</v>
      </c>
      <c r="J20" s="16">
        <v>0</v>
      </c>
      <c r="K20" s="63" t="str">
        <f>IF(F20="N","0:00",IF(
OR(
AND(Masterdata!$B$4&lt;&gt;DATE(1900,1,0),Masterdata!$B$4&lt;$E20),
AND(Masterdata!$B$3&lt;&gt;DATE(1900,1,0),Masterdata!$B$3&gt;$E20)
),
"0:00",
IF(
$H20&gt;TIME(0,0,0),
IF(
OR($C20="Saturday",$C20="Sunday"),
TEXT($H20,"[tt]:mm"),
IF($H20-$V$8&gt;=0,TEXT($H20-$V$8,"[tt]:mm"),"-"&amp;TEXT(ABS($H20-$V$8),"[tt]:mm"))
),
IF(
OR($C20="Saturday",$C20="Sunday"),
IF($J20-$I20&gt;=0,TEXT($J20-$I20,"[tt]:mm"),"-"&amp;TEXT(ABS($J20-$I20),"[tt]:mm")),
IFERROR(
IF($G20-$V$8=0,
IF($G20-$V$8&gt;=0,TEXT($G20-$V$8,"[tt]:mm"),"-"&amp;TEXT(ABS($G20-$V$8),"[tt]:mm")),
IF($J20-$I20&gt;=0,TEXT($J20-$I20,"[tt]:mm"),"-"&amp;TEXT(ABS($J20-$I20),"[tt]:mm"))
),
IF(
$J20-$I20-$V$8&gt;=0,
TEXT($J20-$I20-$V$8,"[tt]:mm"),
"-"&amp;TEXT(ABS($J20-$I20-$V$8),"[tt]:mm")
)
)
)
)
))</f>
        <v>0:00</v>
      </c>
      <c r="L20" s="54" t="str">
        <f t="shared" si="3"/>
        <v>0</v>
      </c>
      <c r="M20" s="58" t="str">
        <f t="shared" si="4"/>
        <v>0:</v>
      </c>
      <c r="N20" s="51" t="str">
        <f t="shared" si="5"/>
        <v>0</v>
      </c>
      <c r="O20" s="57">
        <f t="shared" si="6"/>
        <v>0</v>
      </c>
      <c r="P20" s="6">
        <f t="shared" si="7"/>
        <v>0</v>
      </c>
      <c r="Q20" s="69"/>
    </row>
    <row r="21" spans="1:21" ht="15.75" x14ac:dyDescent="0.25">
      <c r="A21" s="12">
        <f t="shared" si="1"/>
        <v>46</v>
      </c>
      <c r="B21" s="13">
        <f t="shared" si="8"/>
        <v>45611</v>
      </c>
      <c r="C21" s="14" t="str" cm="1">
        <f t="array" ref="C21">_xlfn.SWITCH(WEEKDAY($D21, 2), 1, "Monday", 2, "Tuesday", 3, "Wednesday", 4, "Thursday", 5, "Friday", 6, "Saturday", 7, "Sunday")</f>
        <v>Friday</v>
      </c>
      <c r="D21">
        <f t="shared" si="0"/>
        <v>6</v>
      </c>
      <c r="E21" s="42">
        <f t="shared" si="2"/>
        <v>45611</v>
      </c>
      <c r="F21" s="15" t="s">
        <v>21</v>
      </c>
      <c r="G21" s="17">
        <f>IFERROR(
    IF($F21="N", $V$8,
        IF(OR(
            AND(Masterdata!$B$4&lt;&gt;DATE(1900,1,0), Masterdata!$B$4&lt;$E21),
            AND(Masterdata!$B$3&lt;&gt;DATE(1900,1,0), Masterdata!$B$3&gt;$E21)
        ),
        IF($H21&gt;=TIME(0,0,0), "Write in the next field", 0),
        IF($H21&gt;=TIME(0,0,0), "Write in the next field",
            IF($H21&gt;=0, 0,
                IF(OR($C21="Saturday", $C21="Sunday"), 0, 0)
            )
        )
    )),
"Write in the next field")</f>
        <v>0.30833333333333335</v>
      </c>
      <c r="H21" s="16">
        <v>0</v>
      </c>
      <c r="I21" s="16">
        <v>0</v>
      </c>
      <c r="J21" s="16">
        <v>0</v>
      </c>
      <c r="K21" s="63" t="str">
        <f>IF(F21="N","0:00",IF(
OR(
AND(Masterdata!$B$4&lt;&gt;DATE(1900,1,0),Masterdata!$B$4&lt;$E21),
AND(Masterdata!$B$3&lt;&gt;DATE(1900,1,0),Masterdata!$B$3&gt;$E21)
),
"0:00",
IF(
$H21&gt;TIME(0,0,0),
IF(
OR($C21="Saturday",$C21="Sunday"),
TEXT($H21,"[tt]:mm"),
IF($H21-$V$8&gt;=0,TEXT($H21-$V$8,"[tt]:mm"),"-"&amp;TEXT(ABS($H21-$V$8),"[tt]:mm"))
),
IF(
OR($C21="Saturday",$C21="Sunday"),
IF($J21-$I21&gt;=0,TEXT($J21-$I21,"[tt]:mm"),"-"&amp;TEXT(ABS($J21-$I21),"[tt]:mm")),
IFERROR(
IF($G21-$V$8=0,
IF($G21-$V$8&gt;=0,TEXT($G21-$V$8,"[tt]:mm"),"-"&amp;TEXT(ABS($G21-$V$8),"[tt]:mm")),
IF($J21-$I21&gt;=0,TEXT($J21-$I21,"[tt]:mm"),"-"&amp;TEXT(ABS($J21-$I21),"[tt]:mm"))
),
IF(
$J21-$I21-$V$8&gt;=0,
TEXT($J21-$I21-$V$8,"[tt]:mm"),
"-"&amp;TEXT(ABS($J21-$I21-$V$8),"[tt]:mm")
)
)
)
)
))</f>
        <v>0:00</v>
      </c>
      <c r="L21" s="54" t="str">
        <f t="shared" si="3"/>
        <v>0</v>
      </c>
      <c r="M21" s="58" t="str">
        <f t="shared" si="4"/>
        <v>0:</v>
      </c>
      <c r="N21" s="51" t="str">
        <f t="shared" si="5"/>
        <v>0</v>
      </c>
      <c r="O21" s="57">
        <f t="shared" si="6"/>
        <v>0</v>
      </c>
      <c r="P21" s="6">
        <f t="shared" si="7"/>
        <v>0</v>
      </c>
      <c r="Q21" s="69"/>
    </row>
    <row r="22" spans="1:21" ht="15.75" x14ac:dyDescent="0.25">
      <c r="A22" s="12">
        <f t="shared" si="1"/>
        <v>46</v>
      </c>
      <c r="B22" s="13">
        <f t="shared" si="8"/>
        <v>45612</v>
      </c>
      <c r="C22" s="14" t="str" cm="1">
        <f t="array" ref="C22">_xlfn.SWITCH(WEEKDAY($D22, 2), 1, "Monday", 2, "Tuesday", 3, "Wednesday", 4, "Thursday", 5, "Friday", 6, "Saturday", 7, "Sunday")</f>
        <v>Saturday</v>
      </c>
      <c r="D22">
        <f t="shared" si="0"/>
        <v>7</v>
      </c>
      <c r="E22" s="42">
        <f t="shared" si="2"/>
        <v>45612</v>
      </c>
      <c r="F22" s="15" t="s">
        <v>21</v>
      </c>
      <c r="G22" s="17">
        <f>IF($F22="N",0,"Write in the next field")</f>
        <v>0</v>
      </c>
      <c r="H22" s="16">
        <v>0</v>
      </c>
      <c r="I22" s="16">
        <v>0</v>
      </c>
      <c r="J22" s="16">
        <v>0</v>
      </c>
      <c r="K22" s="63" t="str">
        <f>IF(F22="N","0:00",IF(
OR(
AND(Masterdata!$B$4&lt;&gt;DATE(1900,1,0),Masterdata!$B$4&lt;$E22),
AND(Masterdata!$B$3&lt;&gt;DATE(1900,1,0),Masterdata!$B$3&gt;$E22)
),
"0:00",
IF(
$H22&gt;TIME(0,0,0),
IF(
OR($C22="Saturday",$C22="Sunday"),
TEXT($H22,"[tt]:mm"),
IF($H22-$V$8&gt;=0,TEXT($H22-$V$8,"[tt]:mm"),"-"&amp;TEXT(ABS($H22-$V$8),"[tt]:mm"))
),
IF(
OR($C22="Saturday",$C22="Sunday"),
IF($J22-$I22&gt;=0,TEXT($J22-$I22,"[tt]:mm"),"-"&amp;TEXT(ABS($J22-$I22),"[tt]:mm")),
IFERROR(
IF($G22-$V$8=0,
IF($G22-$V$8&gt;=0,TEXT($G22-$V$8,"[tt]:mm"),"-"&amp;TEXT(ABS($G22-$V$8),"[tt]:mm")),
IF($J22-$I22&gt;=0,TEXT($J22-$I22,"[tt]:mm"),"-"&amp;TEXT(ABS($J22-$I22),"[tt]:mm"))
),
IF(
$J22-$I22-$V$8&gt;=0,
TEXT($J22-$I22-$V$8,"[tt]:mm"),
"-"&amp;TEXT(ABS($J22-$I22-$V$8),"[tt]:mm")
)
)
)
)
))</f>
        <v>0:00</v>
      </c>
      <c r="L22" s="54" t="str">
        <f t="shared" si="3"/>
        <v>0</v>
      </c>
      <c r="M22" s="58" t="str">
        <f t="shared" si="4"/>
        <v>0:</v>
      </c>
      <c r="N22" s="51" t="str">
        <f t="shared" si="5"/>
        <v>0</v>
      </c>
      <c r="O22" s="57">
        <f t="shared" si="6"/>
        <v>0</v>
      </c>
      <c r="P22" s="6">
        <f t="shared" si="7"/>
        <v>0</v>
      </c>
      <c r="Q22" s="69"/>
    </row>
    <row r="23" spans="1:21" ht="15.75" x14ac:dyDescent="0.25">
      <c r="A23" s="12">
        <f t="shared" si="1"/>
        <v>46</v>
      </c>
      <c r="B23" s="13">
        <f t="shared" si="8"/>
        <v>45613</v>
      </c>
      <c r="C23" s="14" t="str" cm="1">
        <f t="array" ref="C23">_xlfn.SWITCH(WEEKDAY($D23, 2), 1, "Monday", 2, "Tuesday", 3, "Wednesday", 4, "Thursday", 5, "Friday", 6, "Saturday", 7, "Sunday")</f>
        <v>Sunday</v>
      </c>
      <c r="D23">
        <f t="shared" si="0"/>
        <v>8</v>
      </c>
      <c r="E23" s="42">
        <f t="shared" si="2"/>
        <v>45613</v>
      </c>
      <c r="F23" s="15" t="s">
        <v>21</v>
      </c>
      <c r="G23" s="17">
        <f>IF($F23="N",0,"Write in the next field")</f>
        <v>0</v>
      </c>
      <c r="H23" s="16">
        <v>0</v>
      </c>
      <c r="I23" s="16">
        <v>0</v>
      </c>
      <c r="J23" s="16">
        <v>0</v>
      </c>
      <c r="K23" s="63" t="str">
        <f>IF(F23="N","0:00",IF(
OR(
AND(Masterdata!$B$4&lt;&gt;DATE(1900,1,0),Masterdata!$B$4&lt;$E23),
AND(Masterdata!$B$3&lt;&gt;DATE(1900,1,0),Masterdata!$B$3&gt;$E23)
),
"0:00",
IF(
$H23&gt;TIME(0,0,0),
IF(
OR($C23="Saturday",$C23="Sunday"),
TEXT($H23,"[tt]:mm"),
IF($H23-$V$8&gt;=0,TEXT($H23-$V$8,"[tt]:mm"),"-"&amp;TEXT(ABS($H23-$V$8),"[tt]:mm"))
),
IF(
OR($C23="Saturday",$C23="Sunday"),
IF($J23-$I23&gt;=0,TEXT($J23-$I23,"[tt]:mm"),"-"&amp;TEXT(ABS($J23-$I23),"[tt]:mm")),
IFERROR(
IF($G23-$V$8=0,
IF($G23-$V$8&gt;=0,TEXT($G23-$V$8,"[tt]:mm"),"-"&amp;TEXT(ABS($G23-$V$8),"[tt]:mm")),
IF($J23-$I23&gt;=0,TEXT($J23-$I23,"[tt]:mm"),"-"&amp;TEXT(ABS($J23-$I23),"[tt]:mm"))
),
IF(
$J23-$I23-$V$8&gt;=0,
TEXT($J23-$I23-$V$8,"[tt]:mm"),
"-"&amp;TEXT(ABS($J23-$I23-$V$8),"[tt]:mm")
)
)
)
)
))</f>
        <v>0:00</v>
      </c>
      <c r="L23" s="54" t="str">
        <f t="shared" si="3"/>
        <v>0</v>
      </c>
      <c r="M23" s="58" t="str">
        <f t="shared" si="4"/>
        <v>0:</v>
      </c>
      <c r="N23" s="51" t="str">
        <f t="shared" si="5"/>
        <v>0</v>
      </c>
      <c r="O23" s="57">
        <f t="shared" si="6"/>
        <v>0</v>
      </c>
      <c r="P23" s="6">
        <f t="shared" si="7"/>
        <v>0</v>
      </c>
      <c r="Q23" s="69"/>
    </row>
    <row r="24" spans="1:21" ht="15.75" x14ac:dyDescent="0.25">
      <c r="A24" s="12">
        <f t="shared" si="1"/>
        <v>47</v>
      </c>
      <c r="B24" s="13">
        <f t="shared" si="8"/>
        <v>45614</v>
      </c>
      <c r="C24" s="14" t="str" cm="1">
        <f t="array" ref="C24">_xlfn.SWITCH(WEEKDAY($D24, 2), 1, "Monday", 2, "Tuesday", 3, "Wednesday", 4, "Thursday", 5, "Friday", 6, "Saturday", 7, "Sunday")</f>
        <v>Monday</v>
      </c>
      <c r="D24">
        <f t="shared" si="0"/>
        <v>2</v>
      </c>
      <c r="E24" s="42">
        <f t="shared" si="2"/>
        <v>45614</v>
      </c>
      <c r="F24" s="15" t="s">
        <v>21</v>
      </c>
      <c r="G24" s="17">
        <f>IFERROR(
    IF($F24="N", $V$8,
        IF(OR(
            AND(Masterdata!$B$4&lt;&gt;DATE(1900,1,0), Masterdata!$B$4&lt;$E24),
            AND(Masterdata!$B$3&lt;&gt;DATE(1900,1,0), Masterdata!$B$3&gt;$E24)
        ),
        IF($H24&gt;=TIME(0,0,0), "Write in the next field", 0),
        IF($H24&gt;=TIME(0,0,0), "Write in the next field",
            IF($H24&gt;=0, 0,
                IF(OR($C24="Saturday", $C24="Sunday"), 0, 0)
            )
        )
    )),
"Write in the next field")</f>
        <v>0.30833333333333335</v>
      </c>
      <c r="H24" s="16"/>
      <c r="I24" s="16">
        <v>0.29166666666666669</v>
      </c>
      <c r="J24" s="16">
        <v>0.625</v>
      </c>
      <c r="K24" s="63" t="str">
        <f>IF(F24="N","0:00",IF(
OR(
AND(Masterdata!$B$4&lt;&gt;DATE(1900,1,0),Masterdata!$B$4&lt;$E24),
AND(Masterdata!$B$3&lt;&gt;DATE(1900,1,0),Masterdata!$B$3&gt;$E24)
),
"0:00",
IF(
$H24&gt;TIME(0,0,0),
IF(
OR($C24="Saturday",$C24="Sunday"),
TEXT($H24,"[tt]:mm"),
IF($H24-$V$8&gt;=0,TEXT($H24-$V$8,"[tt]:mm"),"-"&amp;TEXT(ABS($H24-$V$8),"[tt]:mm"))
),
IF(
OR($C24="Saturday",$C24="Sunday"),
IF($J24-$I24&gt;=0,TEXT($J24-$I24,"[tt]:mm"),"-"&amp;TEXT(ABS($J24-$I24),"[tt]:mm")),
IFERROR(
IF($G24-$V$8=0,
IF($G24-$V$8&gt;=0,TEXT($G24-$V$8,"[tt]:mm"),"-"&amp;TEXT(ABS($G24-$V$8),"[tt]:mm")),
IF($J24-$I24&gt;=0,TEXT($J24-$I24,"[tt]:mm"),"-"&amp;TEXT(ABS($J24-$I24),"[tt]:mm"))
),
IF(
$J24-$I24-$V$8&gt;=0,
TEXT($J24-$I24-$V$8,"[tt]:mm"),
"-"&amp;TEXT(ABS($J24-$I24-$V$8),"[tt]:mm")
)
)
)
)
))</f>
        <v>0:00</v>
      </c>
      <c r="L24" s="54" t="str">
        <f t="shared" si="3"/>
        <v>0</v>
      </c>
      <c r="M24" s="58" t="str">
        <f t="shared" si="4"/>
        <v>0:</v>
      </c>
      <c r="N24" s="51" t="str">
        <f t="shared" si="5"/>
        <v>0</v>
      </c>
      <c r="O24" s="57">
        <f t="shared" si="6"/>
        <v>0</v>
      </c>
      <c r="P24" s="6">
        <f t="shared" si="7"/>
        <v>0</v>
      </c>
      <c r="Q24" s="69"/>
    </row>
    <row r="25" spans="1:21" ht="15.75" x14ac:dyDescent="0.25">
      <c r="A25" s="12">
        <f t="shared" si="1"/>
        <v>47</v>
      </c>
      <c r="B25" s="13">
        <f t="shared" si="8"/>
        <v>45615</v>
      </c>
      <c r="C25" s="14" t="str" cm="1">
        <f t="array" ref="C25">_xlfn.SWITCH(WEEKDAY($D25, 2), 1, "Monday", 2, "Tuesday", 3, "Wednesday", 4, "Thursday", 5, "Friday", 6, "Saturday", 7, "Sunday")</f>
        <v>Tuesday</v>
      </c>
      <c r="D25">
        <f t="shared" si="0"/>
        <v>3</v>
      </c>
      <c r="E25" s="42">
        <f t="shared" si="2"/>
        <v>45615</v>
      </c>
      <c r="F25" s="15" t="s">
        <v>21</v>
      </c>
      <c r="G25" s="17">
        <f>IFERROR(
    IF($F25="N", $V$8,
        IF(OR(
            AND(Masterdata!$B$4&lt;&gt;DATE(1900,1,0), Masterdata!$B$4&lt;$E25),
            AND(Masterdata!$B$3&lt;&gt;DATE(1900,1,0), Masterdata!$B$3&gt;$E25)
        ),
        IF($H25&gt;=TIME(0,0,0), "Write in the next field", 0),
        IF($H25&gt;=TIME(0,0,0), "Write in the next field",
            IF($H25&gt;=0, 0,
                IF(OR($C25="Saturday", $C25="Sunday"), 0, 0)
            )
        )
    )),
"Write in the next field")</f>
        <v>0.30833333333333335</v>
      </c>
      <c r="H25" s="16">
        <v>0</v>
      </c>
      <c r="I25" s="16">
        <v>0.29166666666666669</v>
      </c>
      <c r="J25" s="16">
        <v>0.625</v>
      </c>
      <c r="K25" s="63" t="str">
        <f>IF(F25="N","0:00",IF(
OR(
AND(Masterdata!$B$4&lt;&gt;DATE(1900,1,0),Masterdata!$B$4&lt;$E25),
AND(Masterdata!$B$3&lt;&gt;DATE(1900,1,0),Masterdata!$B$3&gt;$E25)
),
"0:00",
IF(
$H25&gt;TIME(0,0,0),
IF(
OR($C25="Saturday",$C25="Sunday"),
TEXT($H25,"[tt]:mm"),
IF($H25-$V$8&gt;=0,TEXT($H25-$V$8,"[tt]:mm"),"-"&amp;TEXT(ABS($H25-$V$8),"[tt]:mm"))
),
IF(
OR($C25="Saturday",$C25="Sunday"),
IF($J25-$I25&gt;=0,TEXT($J25-$I25,"[tt]:mm"),"-"&amp;TEXT(ABS($J25-$I25),"[tt]:mm")),
IFERROR(
IF($G25-$V$8=0,
IF($G25-$V$8&gt;=0,TEXT($G25-$V$8,"[tt]:mm"),"-"&amp;TEXT(ABS($G25-$V$8),"[tt]:mm")),
IF($J25-$I25&gt;=0,TEXT($J25-$I25,"[tt]:mm"),"-"&amp;TEXT(ABS($J25-$I25),"[tt]:mm"))
),
IF(
$J25-$I25-$V$8&gt;=0,
TEXT($J25-$I25-$V$8,"[tt]:mm"),
"-"&amp;TEXT(ABS($J25-$I25-$V$8),"[tt]:mm")
)
)
)
)
))</f>
        <v>0:00</v>
      </c>
      <c r="L25" s="54" t="str">
        <f t="shared" si="3"/>
        <v>0</v>
      </c>
      <c r="M25" s="58" t="str">
        <f t="shared" si="4"/>
        <v>0:</v>
      </c>
      <c r="N25" s="51" t="str">
        <f t="shared" si="5"/>
        <v>0</v>
      </c>
      <c r="O25" s="57">
        <f t="shared" si="6"/>
        <v>0</v>
      </c>
      <c r="P25" s="6">
        <f t="shared" si="7"/>
        <v>0</v>
      </c>
      <c r="Q25" s="69"/>
    </row>
    <row r="26" spans="1:21" ht="15.75" x14ac:dyDescent="0.25">
      <c r="A26" s="12">
        <f t="shared" si="1"/>
        <v>47</v>
      </c>
      <c r="B26" s="13">
        <f t="shared" si="8"/>
        <v>45616</v>
      </c>
      <c r="C26" s="14" t="str" cm="1">
        <f t="array" ref="C26">_xlfn.SWITCH(WEEKDAY($D26, 2), 1, "Monday", 2, "Tuesday", 3, "Wednesday", 4, "Thursday", 5, "Friday", 6, "Saturday", 7, "Sunday")</f>
        <v>Wednesday</v>
      </c>
      <c r="D26">
        <f t="shared" si="0"/>
        <v>4</v>
      </c>
      <c r="E26" s="42">
        <f t="shared" si="2"/>
        <v>45616</v>
      </c>
      <c r="F26" s="15" t="s">
        <v>21</v>
      </c>
      <c r="G26" s="17">
        <f>IFERROR(
    IF($F26="N", $V$8,
        IF(OR(
            AND(Masterdata!$B$4&lt;&gt;DATE(1900,1,0), Masterdata!$B$4&lt;$E26),
            AND(Masterdata!$B$3&lt;&gt;DATE(1900,1,0), Masterdata!$B$3&gt;$E26)
        ),
        IF($H26&gt;=TIME(0,0,0), "Write in the next field", 0),
        IF($H26&gt;=TIME(0,0,0), "Write in the next field",
            IF($H26&gt;=0, 0,
                IF(OR($C26="Saturday", $C26="Sunday"), 0, 0)
            )
        )
    )),
"Write in the next field")</f>
        <v>0.30833333333333335</v>
      </c>
      <c r="H26" s="16">
        <v>0</v>
      </c>
      <c r="I26" s="16">
        <v>0</v>
      </c>
      <c r="J26" s="16">
        <v>0</v>
      </c>
      <c r="K26" s="63" t="str">
        <f>IF(F26="N","0:00",IF(
OR(
AND(Masterdata!$B$4&lt;&gt;DATE(1900,1,0),Masterdata!$B$4&lt;$E26),
AND(Masterdata!$B$3&lt;&gt;DATE(1900,1,0),Masterdata!$B$3&gt;$E26)
),
"0:00",
IF(
$H26&gt;TIME(0,0,0),
IF(
OR($C26="Saturday",$C26="Sunday"),
TEXT($H26,"[tt]:mm"),
IF($H26-$V$8&gt;=0,TEXT($H26-$V$8,"[tt]:mm"),"-"&amp;TEXT(ABS($H26-$V$8),"[tt]:mm"))
),
IF(
OR($C26="Saturday",$C26="Sunday"),
IF($J26-$I26&gt;=0,TEXT($J26-$I26,"[tt]:mm"),"-"&amp;TEXT(ABS($J26-$I26),"[tt]:mm")),
IFERROR(
IF($G26-$V$8=0,
IF($G26-$V$8&gt;=0,TEXT($G26-$V$8,"[tt]:mm"),"-"&amp;TEXT(ABS($G26-$V$8),"[tt]:mm")),
IF($J26-$I26&gt;=0,TEXT($J26-$I26,"[tt]:mm"),"-"&amp;TEXT(ABS($J26-$I26),"[tt]:mm"))
),
IF(
$J26-$I26-$V$8&gt;=0,
TEXT($J26-$I26-$V$8,"[tt]:mm"),
"-"&amp;TEXT(ABS($J26-$I26-$V$8),"[tt]:mm")
)
)
)
)
))</f>
        <v>0:00</v>
      </c>
      <c r="L26" s="54" t="str">
        <f t="shared" si="3"/>
        <v>0</v>
      </c>
      <c r="M26" s="58" t="str">
        <f t="shared" si="4"/>
        <v>0:</v>
      </c>
      <c r="N26" s="51" t="str">
        <f t="shared" si="5"/>
        <v>0</v>
      </c>
      <c r="O26" s="57">
        <f t="shared" si="6"/>
        <v>0</v>
      </c>
      <c r="P26" s="6">
        <f t="shared" si="7"/>
        <v>0</v>
      </c>
      <c r="Q26" s="69"/>
    </row>
    <row r="27" spans="1:21" ht="15.75" x14ac:dyDescent="0.25">
      <c r="A27" s="12">
        <f t="shared" si="1"/>
        <v>47</v>
      </c>
      <c r="B27" s="13">
        <f t="shared" si="8"/>
        <v>45617</v>
      </c>
      <c r="C27" s="14" t="str" cm="1">
        <f t="array" ref="C27">_xlfn.SWITCH(WEEKDAY($D27, 2), 1, "Monday", 2, "Tuesday", 3, "Wednesday", 4, "Thursday", 5, "Friday", 6, "Saturday", 7, "Sunday")</f>
        <v>Thursday</v>
      </c>
      <c r="D27">
        <f t="shared" si="0"/>
        <v>5</v>
      </c>
      <c r="E27" s="42">
        <f t="shared" si="2"/>
        <v>45617</v>
      </c>
      <c r="F27" s="15" t="s">
        <v>21</v>
      </c>
      <c r="G27" s="17">
        <f>IFERROR(
    IF($F27="N", $V$8,
        IF(OR(
            AND(Masterdata!$B$4&lt;&gt;DATE(1900,1,0), Masterdata!$B$4&lt;$E27),
            AND(Masterdata!$B$3&lt;&gt;DATE(1900,1,0), Masterdata!$B$3&gt;$E27)
        ),
        IF($H27&gt;=TIME(0,0,0), "Write in the next field", 0),
        IF($H27&gt;=TIME(0,0,0), "Write in the next field",
            IF($H27&gt;=0, 0,
                IF(OR($C27="Saturday", $C27="Sunday"), 0, 0)
            )
        )
    )),
"Write in the next field")</f>
        <v>0.30833333333333335</v>
      </c>
      <c r="H27" s="16">
        <v>0</v>
      </c>
      <c r="I27" s="16">
        <v>0</v>
      </c>
      <c r="J27" s="16">
        <v>0</v>
      </c>
      <c r="K27" s="63" t="str">
        <f>IF(F27="N","0:00",IF(
OR(
AND(Masterdata!$B$4&lt;&gt;DATE(1900,1,0),Masterdata!$B$4&lt;$E27),
AND(Masterdata!$B$3&lt;&gt;DATE(1900,1,0),Masterdata!$B$3&gt;$E27)
),
"0:00",
IF(
$H27&gt;TIME(0,0,0),
IF(
OR($C27="Saturday",$C27="Sunday"),
TEXT($H27,"[tt]:mm"),
IF($H27-$V$8&gt;=0,TEXT($H27-$V$8,"[tt]:mm"),"-"&amp;TEXT(ABS($H27-$V$8),"[tt]:mm"))
),
IF(
OR($C27="Saturday",$C27="Sunday"),
IF($J27-$I27&gt;=0,TEXT($J27-$I27,"[tt]:mm"),"-"&amp;TEXT(ABS($J27-$I27),"[tt]:mm")),
IFERROR(
IF($G27-$V$8=0,
IF($G27-$V$8&gt;=0,TEXT($G27-$V$8,"[tt]:mm"),"-"&amp;TEXT(ABS($G27-$V$8),"[tt]:mm")),
IF($J27-$I27&gt;=0,TEXT($J27-$I27,"[tt]:mm"),"-"&amp;TEXT(ABS($J27-$I27),"[tt]:mm"))
),
IF(
$J27-$I27-$V$8&gt;=0,
TEXT($J27-$I27-$V$8,"[tt]:mm"),
"-"&amp;TEXT(ABS($J27-$I27-$V$8),"[tt]:mm")
)
)
)
)
))</f>
        <v>0:00</v>
      </c>
      <c r="L27" s="54" t="str">
        <f t="shared" si="3"/>
        <v>0</v>
      </c>
      <c r="M27" s="58" t="str">
        <f t="shared" si="4"/>
        <v>0:</v>
      </c>
      <c r="N27" s="51" t="str">
        <f t="shared" si="5"/>
        <v>0</v>
      </c>
      <c r="O27" s="57">
        <f t="shared" si="6"/>
        <v>0</v>
      </c>
      <c r="P27" s="6">
        <f t="shared" si="7"/>
        <v>0</v>
      </c>
      <c r="Q27" s="69"/>
    </row>
    <row r="28" spans="1:21" ht="15.75" x14ac:dyDescent="0.25">
      <c r="A28" s="12">
        <f t="shared" si="1"/>
        <v>47</v>
      </c>
      <c r="B28" s="13">
        <f t="shared" si="8"/>
        <v>45618</v>
      </c>
      <c r="C28" s="14" t="str" cm="1">
        <f t="array" ref="C28">_xlfn.SWITCH(WEEKDAY($D28, 2), 1, "Monday", 2, "Tuesday", 3, "Wednesday", 4, "Thursday", 5, "Friday", 6, "Saturday", 7, "Sunday")</f>
        <v>Friday</v>
      </c>
      <c r="D28">
        <f t="shared" si="0"/>
        <v>6</v>
      </c>
      <c r="E28" s="42">
        <f t="shared" si="2"/>
        <v>45618</v>
      </c>
      <c r="F28" s="15" t="s">
        <v>21</v>
      </c>
      <c r="G28" s="17">
        <f>IFERROR(
    IF($F28="N", $V$8,
        IF(OR(
            AND(Masterdata!$B$4&lt;&gt;DATE(1900,1,0), Masterdata!$B$4&lt;$E28),
            AND(Masterdata!$B$3&lt;&gt;DATE(1900,1,0), Masterdata!$B$3&gt;$E28)
        ),
        IF($H28&gt;=TIME(0,0,0), "Write in the next field", 0),
        IF($H28&gt;=TIME(0,0,0), "Write in the next field",
            IF($H28&gt;=0, 0,
                IF(OR($C28="Saturday", $C28="Sunday"), 0, 0)
            )
        )
    )),
"Write in the next field")</f>
        <v>0.30833333333333335</v>
      </c>
      <c r="H28" s="16">
        <v>0</v>
      </c>
      <c r="I28" s="16">
        <v>0</v>
      </c>
      <c r="J28" s="16">
        <v>0</v>
      </c>
      <c r="K28" s="63" t="str">
        <f>IF(F28="N","0:00",IF(
OR(
AND(Masterdata!$B$4&lt;&gt;DATE(1900,1,0),Masterdata!$B$4&lt;$E28),
AND(Masterdata!$B$3&lt;&gt;DATE(1900,1,0),Masterdata!$B$3&gt;$E28)
),
"0:00",
IF(
$H28&gt;TIME(0,0,0),
IF(
OR($C28="Saturday",$C28="Sunday"),
TEXT($H28,"[tt]:mm"),
IF($H28-$V$8&gt;=0,TEXT($H28-$V$8,"[tt]:mm"),"-"&amp;TEXT(ABS($H28-$V$8),"[tt]:mm"))
),
IF(
OR($C28="Saturday",$C28="Sunday"),
IF($J28-$I28&gt;=0,TEXT($J28-$I28,"[tt]:mm"),"-"&amp;TEXT(ABS($J28-$I28),"[tt]:mm")),
IFERROR(
IF($G28-$V$8=0,
IF($G28-$V$8&gt;=0,TEXT($G28-$V$8,"[tt]:mm"),"-"&amp;TEXT(ABS($G28-$V$8),"[tt]:mm")),
IF($J28-$I28&gt;=0,TEXT($J28-$I28,"[tt]:mm"),"-"&amp;TEXT(ABS($J28-$I28),"[tt]:mm"))
),
IF(
$J28-$I28-$V$8&gt;=0,
TEXT($J28-$I28-$V$8,"[tt]:mm"),
"-"&amp;TEXT(ABS($J28-$I28-$V$8),"[tt]:mm")
)
)
)
)
))</f>
        <v>0:00</v>
      </c>
      <c r="L28" s="54" t="str">
        <f t="shared" si="3"/>
        <v>0</v>
      </c>
      <c r="M28" s="58" t="str">
        <f t="shared" si="4"/>
        <v>0:</v>
      </c>
      <c r="N28" s="51" t="str">
        <f t="shared" si="5"/>
        <v>0</v>
      </c>
      <c r="O28" s="57">
        <f t="shared" si="6"/>
        <v>0</v>
      </c>
      <c r="P28" s="6">
        <f t="shared" si="7"/>
        <v>0</v>
      </c>
      <c r="Q28" s="69"/>
    </row>
    <row r="29" spans="1:21" ht="15.75" x14ac:dyDescent="0.25">
      <c r="A29" s="12">
        <f t="shared" si="1"/>
        <v>47</v>
      </c>
      <c r="B29" s="13">
        <f t="shared" si="8"/>
        <v>45619</v>
      </c>
      <c r="C29" s="14" t="str" cm="1">
        <f t="array" ref="C29">_xlfn.SWITCH(WEEKDAY($D29, 2), 1, "Monday", 2, "Tuesday", 3, "Wednesday", 4, "Thursday", 5, "Friday", 6, "Saturday", 7, "Sunday")</f>
        <v>Saturday</v>
      </c>
      <c r="D29">
        <f t="shared" si="0"/>
        <v>7</v>
      </c>
      <c r="E29" s="42">
        <f t="shared" si="2"/>
        <v>45619</v>
      </c>
      <c r="F29" s="15" t="s">
        <v>21</v>
      </c>
      <c r="G29" s="17">
        <f>IF($F29="N",0,"Write in the next field")</f>
        <v>0</v>
      </c>
      <c r="H29" s="16">
        <v>0</v>
      </c>
      <c r="I29" s="16">
        <v>0</v>
      </c>
      <c r="J29" s="16">
        <v>0</v>
      </c>
      <c r="K29" s="63" t="str">
        <f>IF(F29="N","0:00",IF(
OR(
AND(Masterdata!$B$4&lt;&gt;DATE(1900,1,0),Masterdata!$B$4&lt;$E29),
AND(Masterdata!$B$3&lt;&gt;DATE(1900,1,0),Masterdata!$B$3&gt;$E29)
),
"0:00",
IF(
$H29&gt;TIME(0,0,0),
IF(
OR($C29="Saturday",$C29="Sunday"),
TEXT($H29,"[tt]:mm"),
IF($H29-$V$8&gt;=0,TEXT($H29-$V$8,"[tt]:mm"),"-"&amp;TEXT(ABS($H29-$V$8),"[tt]:mm"))
),
IF(
OR($C29="Saturday",$C29="Sunday"),
IF($J29-$I29&gt;=0,TEXT($J29-$I29,"[tt]:mm"),"-"&amp;TEXT(ABS($J29-$I29),"[tt]:mm")),
IFERROR(
IF($G29-$V$8=0,
IF($G29-$V$8&gt;=0,TEXT($G29-$V$8,"[tt]:mm"),"-"&amp;TEXT(ABS($G29-$V$8),"[tt]:mm")),
IF($J29-$I29&gt;=0,TEXT($J29-$I29,"[tt]:mm"),"-"&amp;TEXT(ABS($J29-$I29),"[tt]:mm"))
),
IF(
$J29-$I29-$V$8&gt;=0,
TEXT($J29-$I29-$V$8,"[tt]:mm"),
"-"&amp;TEXT(ABS($J29-$I29-$V$8),"[tt]:mm")
)
)
)
)
))</f>
        <v>0:00</v>
      </c>
      <c r="L29" s="54" t="str">
        <f t="shared" si="3"/>
        <v>0</v>
      </c>
      <c r="M29" s="58" t="str">
        <f t="shared" si="4"/>
        <v>0:</v>
      </c>
      <c r="N29" s="51" t="str">
        <f t="shared" si="5"/>
        <v>0</v>
      </c>
      <c r="O29" s="57">
        <f t="shared" si="6"/>
        <v>0</v>
      </c>
      <c r="P29" s="6">
        <f t="shared" si="7"/>
        <v>0</v>
      </c>
      <c r="Q29" s="69"/>
    </row>
    <row r="30" spans="1:21" ht="15.75" x14ac:dyDescent="0.25">
      <c r="A30" s="12">
        <f t="shared" si="1"/>
        <v>47</v>
      </c>
      <c r="B30" s="13">
        <f t="shared" si="8"/>
        <v>45620</v>
      </c>
      <c r="C30" s="14" t="str" cm="1">
        <f t="array" ref="C30">_xlfn.SWITCH(WEEKDAY($D30, 2), 1, "Monday", 2, "Tuesday", 3, "Wednesday", 4, "Thursday", 5, "Friday", 6, "Saturday", 7, "Sunday")</f>
        <v>Sunday</v>
      </c>
      <c r="D30">
        <f t="shared" si="0"/>
        <v>8</v>
      </c>
      <c r="E30" s="42">
        <f t="shared" si="2"/>
        <v>45620</v>
      </c>
      <c r="F30" s="15" t="s">
        <v>21</v>
      </c>
      <c r="G30" s="17">
        <f>IF($F30="N",0,"Write in the next field")</f>
        <v>0</v>
      </c>
      <c r="H30" s="16">
        <v>0</v>
      </c>
      <c r="I30" s="16">
        <v>0</v>
      </c>
      <c r="J30" s="16">
        <v>0</v>
      </c>
      <c r="K30" s="63" t="str">
        <f>IF(F30="N","0:00",IF(
OR(
AND(Masterdata!$B$4&lt;&gt;DATE(1900,1,0),Masterdata!$B$4&lt;$E30),
AND(Masterdata!$B$3&lt;&gt;DATE(1900,1,0),Masterdata!$B$3&gt;$E30)
),
"0:00",
IF(
$H30&gt;TIME(0,0,0),
IF(
OR($C30="Saturday",$C30="Sunday"),
TEXT($H30,"[tt]:mm"),
IF($H30-$V$8&gt;=0,TEXT($H30-$V$8,"[tt]:mm"),"-"&amp;TEXT(ABS($H30-$V$8),"[tt]:mm"))
),
IF(
OR($C30="Saturday",$C30="Sunday"),
IF($J30-$I30&gt;=0,TEXT($J30-$I30,"[tt]:mm"),"-"&amp;TEXT(ABS($J30-$I30),"[tt]:mm")),
IFERROR(
IF($G30-$V$8=0,
IF($G30-$V$8&gt;=0,TEXT($G30-$V$8,"[tt]:mm"),"-"&amp;TEXT(ABS($G30-$V$8),"[tt]:mm")),
IF($J30-$I30&gt;=0,TEXT($J30-$I30,"[tt]:mm"),"-"&amp;TEXT(ABS($J30-$I30),"[tt]:mm"))
),
IF(
$J30-$I30-$V$8&gt;=0,
TEXT($J30-$I30-$V$8,"[tt]:mm"),
"-"&amp;TEXT(ABS($J30-$I30-$V$8),"[tt]:mm")
)
)
)
)
))</f>
        <v>0:00</v>
      </c>
      <c r="L30" s="54" t="str">
        <f t="shared" si="3"/>
        <v>0</v>
      </c>
      <c r="M30" s="58" t="str">
        <f t="shared" si="4"/>
        <v>0:</v>
      </c>
      <c r="N30" s="51" t="str">
        <f t="shared" si="5"/>
        <v>0</v>
      </c>
      <c r="O30" s="57">
        <f t="shared" si="6"/>
        <v>0</v>
      </c>
      <c r="P30" s="6">
        <f t="shared" si="7"/>
        <v>0</v>
      </c>
      <c r="Q30" s="69"/>
    </row>
    <row r="31" spans="1:21" ht="15.75" x14ac:dyDescent="0.25">
      <c r="A31" s="12">
        <f t="shared" si="1"/>
        <v>48</v>
      </c>
      <c r="B31" s="13">
        <f t="shared" si="8"/>
        <v>45621</v>
      </c>
      <c r="C31" s="14" t="str" cm="1">
        <f t="array" ref="C31">_xlfn.SWITCH(WEEKDAY($D31, 2), 1, "Monday", 2, "Tuesday", 3, "Wednesday", 4, "Thursday", 5, "Friday", 6, "Saturday", 7, "Sunday")</f>
        <v>Monday</v>
      </c>
      <c r="D31">
        <f t="shared" si="0"/>
        <v>2</v>
      </c>
      <c r="E31" s="42">
        <f t="shared" si="2"/>
        <v>45621</v>
      </c>
      <c r="F31" s="15" t="s">
        <v>21</v>
      </c>
      <c r="G31" s="17">
        <f>IFERROR(
    IF($F31="N", $V$8,
        IF(OR(
            AND(Masterdata!$B$4&lt;&gt;DATE(1900,1,0), Masterdata!$B$4&lt;$E31),
            AND(Masterdata!$B$3&lt;&gt;DATE(1900,1,0), Masterdata!$B$3&gt;$E31)
        ),
        IF($H31&gt;=TIME(0,0,0), "Write in the next field", 0),
        IF($H31&gt;=TIME(0,0,0), "Write in the next field",
            IF($H31&gt;=0, 0,
                IF(OR($C31="Saturday", $C31="Sunday"), 0, 0)
            )
        )
    )),
"Write in the next field")</f>
        <v>0.30833333333333335</v>
      </c>
      <c r="H31" s="16">
        <v>0</v>
      </c>
      <c r="I31" s="16">
        <v>0</v>
      </c>
      <c r="J31" s="16">
        <v>0</v>
      </c>
      <c r="K31" s="63" t="str">
        <f>IF(F31="N","0:00",IF(
OR(
AND(Masterdata!$B$4&lt;&gt;DATE(1900,1,0),Masterdata!$B$4&lt;$E31),
AND(Masterdata!$B$3&lt;&gt;DATE(1900,1,0),Masterdata!$B$3&gt;$E31)
),
"0:00",
IF(
$H31&gt;TIME(0,0,0),
IF(
OR($C31="Saturday",$C31="Sunday"),
TEXT($H31,"[tt]:mm"),
IF($H31-$V$8&gt;=0,TEXT($H31-$V$8,"[tt]:mm"),"-"&amp;TEXT(ABS($H31-$V$8),"[tt]:mm"))
),
IF(
OR($C31="Saturday",$C31="Sunday"),
IF($J31-$I31&gt;=0,TEXT($J31-$I31,"[tt]:mm"),"-"&amp;TEXT(ABS($J31-$I31),"[tt]:mm")),
IFERROR(
IF($G31-$V$8=0,
IF($G31-$V$8&gt;=0,TEXT($G31-$V$8,"[tt]:mm"),"-"&amp;TEXT(ABS($G31-$V$8),"[tt]:mm")),
IF($J31-$I31&gt;=0,TEXT($J31-$I31,"[tt]:mm"),"-"&amp;TEXT(ABS($J31-$I31),"[tt]:mm"))
),
IF(
$J31-$I31-$V$8&gt;=0,
TEXT($J31-$I31-$V$8,"[tt]:mm"),
"-"&amp;TEXT(ABS($J31-$I31-$V$8),"[tt]:mm")
)
)
)
)
))</f>
        <v>0:00</v>
      </c>
      <c r="L31" s="54" t="str">
        <f t="shared" si="3"/>
        <v>0</v>
      </c>
      <c r="M31" s="58" t="str">
        <f t="shared" si="4"/>
        <v>0:</v>
      </c>
      <c r="N31" s="51" t="str">
        <f t="shared" si="5"/>
        <v>0</v>
      </c>
      <c r="O31" s="57">
        <f t="shared" si="6"/>
        <v>0</v>
      </c>
      <c r="P31" s="6">
        <f t="shared" si="7"/>
        <v>0</v>
      </c>
      <c r="Q31" s="69"/>
    </row>
    <row r="32" spans="1:21" ht="15.75" x14ac:dyDescent="0.25">
      <c r="A32" s="12">
        <f t="shared" si="1"/>
        <v>48</v>
      </c>
      <c r="B32" s="13">
        <f t="shared" si="8"/>
        <v>45622</v>
      </c>
      <c r="C32" s="14" t="str" cm="1">
        <f t="array" ref="C32">_xlfn.SWITCH(WEEKDAY($D32, 2), 1, "Monday", 2, "Tuesday", 3, "Wednesday", 4, "Thursday", 5, "Friday", 6, "Saturday", 7, "Sunday")</f>
        <v>Tuesday</v>
      </c>
      <c r="D32">
        <f t="shared" si="0"/>
        <v>3</v>
      </c>
      <c r="E32" s="42">
        <f t="shared" si="2"/>
        <v>45622</v>
      </c>
      <c r="F32" s="15" t="s">
        <v>21</v>
      </c>
      <c r="G32" s="17">
        <f>IFERROR(
    IF($F32="N", $V$8,
        IF(OR(
            AND(Masterdata!$B$4&lt;&gt;DATE(1900,1,0), Masterdata!$B$4&lt;$E32),
            AND(Masterdata!$B$3&lt;&gt;DATE(1900,1,0), Masterdata!$B$3&gt;$E32)
        ),
        IF($H32&gt;=TIME(0,0,0), "Write in the next field", 0),
        IF($H32&gt;=TIME(0,0,0), "Write in the next field",
            IF($H32&gt;=0, 0,
                IF(OR($C32="Saturday", $C32="Sunday"), 0, 0)
            )
        )
    )),
"Write in the next field")</f>
        <v>0.30833333333333335</v>
      </c>
      <c r="H32" s="16">
        <v>0</v>
      </c>
      <c r="I32" s="16">
        <v>0</v>
      </c>
      <c r="J32" s="16">
        <v>0</v>
      </c>
      <c r="K32" s="63" t="str">
        <f>IF(F32="N","0:00",IF(
OR(
AND(Masterdata!$B$4&lt;&gt;DATE(1900,1,0),Masterdata!$B$4&lt;$E32),
AND(Masterdata!$B$3&lt;&gt;DATE(1900,1,0),Masterdata!$B$3&gt;$E32)
),
"0:00",
IF(
$H32&gt;TIME(0,0,0),
IF(
OR($C32="Saturday",$C32="Sunday"),
TEXT($H32,"[tt]:mm"),
IF($H32-$V$8&gt;=0,TEXT($H32-$V$8,"[tt]:mm"),"-"&amp;TEXT(ABS($H32-$V$8),"[tt]:mm"))
),
IF(
OR($C32="Saturday",$C32="Sunday"),
IF($J32-$I32&gt;=0,TEXT($J32-$I32,"[tt]:mm"),"-"&amp;TEXT(ABS($J32-$I32),"[tt]:mm")),
IFERROR(
IF($G32-$V$8=0,
IF($G32-$V$8&gt;=0,TEXT($G32-$V$8,"[tt]:mm"),"-"&amp;TEXT(ABS($G32-$V$8),"[tt]:mm")),
IF($J32-$I32&gt;=0,TEXT($J32-$I32,"[tt]:mm"),"-"&amp;TEXT(ABS($J32-$I32),"[tt]:mm"))
),
IF(
$J32-$I32-$V$8&gt;=0,
TEXT($J32-$I32-$V$8,"[tt]:mm"),
"-"&amp;TEXT(ABS($J32-$I32-$V$8),"[tt]:mm")
)
)
)
)
))</f>
        <v>0:00</v>
      </c>
      <c r="L32" s="54" t="str">
        <f t="shared" si="3"/>
        <v>0</v>
      </c>
      <c r="M32" s="58" t="str">
        <f t="shared" si="4"/>
        <v>0:</v>
      </c>
      <c r="N32" s="51" t="str">
        <f t="shared" si="5"/>
        <v>0</v>
      </c>
      <c r="O32" s="57">
        <f t="shared" si="6"/>
        <v>0</v>
      </c>
      <c r="P32" s="6">
        <f t="shared" si="7"/>
        <v>0</v>
      </c>
      <c r="Q32" s="69"/>
    </row>
    <row r="33" spans="1:17" ht="15.75" x14ac:dyDescent="0.25">
      <c r="A33" s="12">
        <f t="shared" si="1"/>
        <v>48</v>
      </c>
      <c r="B33" s="13">
        <f t="shared" si="8"/>
        <v>45623</v>
      </c>
      <c r="C33" s="14" t="str" cm="1">
        <f t="array" ref="C33">_xlfn.SWITCH(WEEKDAY($D33, 2), 1, "Monday", 2, "Tuesday", 3, "Wednesday", 4, "Thursday", 5, "Friday", 6, "Saturday", 7, "Sunday")</f>
        <v>Wednesday</v>
      </c>
      <c r="D33">
        <f t="shared" si="0"/>
        <v>4</v>
      </c>
      <c r="E33" s="42">
        <f t="shared" si="2"/>
        <v>45623</v>
      </c>
      <c r="F33" s="15" t="s">
        <v>21</v>
      </c>
      <c r="G33" s="17">
        <f>IFERROR(
    IF($F33="N", $V$8,
        IF(OR(
            AND(Masterdata!$B$4&lt;&gt;DATE(1900,1,0), Masterdata!$B$4&lt;$E33),
            AND(Masterdata!$B$3&lt;&gt;DATE(1900,1,0), Masterdata!$B$3&gt;$E33)
        ),
        IF($H33&gt;=TIME(0,0,0), "Write in the next field", 0),
        IF($H33&gt;=TIME(0,0,0), "Write in the next field",
            IF($H33&gt;=0, 0,
                IF(OR($C33="Saturday", $C33="Sunday"), 0, 0)
            )
        )
    )),
"Write in the next field")</f>
        <v>0.30833333333333335</v>
      </c>
      <c r="H33" s="16">
        <v>0</v>
      </c>
      <c r="I33" s="16">
        <v>0</v>
      </c>
      <c r="J33" s="16">
        <v>0</v>
      </c>
      <c r="K33" s="63" t="str">
        <f>IF(F33="N","0:00",IF(
OR(
AND(Masterdata!$B$4&lt;&gt;DATE(1900,1,0),Masterdata!$B$4&lt;$E33),
AND(Masterdata!$B$3&lt;&gt;DATE(1900,1,0),Masterdata!$B$3&gt;$E33)
),
"0:00",
IF(
$H33&gt;TIME(0,0,0),
IF(
OR($C33="Saturday",$C33="Sunday"),
TEXT($H33,"[tt]:mm"),
IF($H33-$V$8&gt;=0,TEXT($H33-$V$8,"[tt]:mm"),"-"&amp;TEXT(ABS($H33-$V$8),"[tt]:mm"))
),
IF(
OR($C33="Saturday",$C33="Sunday"),
IF($J33-$I33&gt;=0,TEXT($J33-$I33,"[tt]:mm"),"-"&amp;TEXT(ABS($J33-$I33),"[tt]:mm")),
IFERROR(
IF($G33-$V$8=0,
IF($G33-$V$8&gt;=0,TEXT($G33-$V$8,"[tt]:mm"),"-"&amp;TEXT(ABS($G33-$V$8),"[tt]:mm")),
IF($J33-$I33&gt;=0,TEXT($J33-$I33,"[tt]:mm"),"-"&amp;TEXT(ABS($J33-$I33),"[tt]:mm"))
),
IF(
$J33-$I33-$V$8&gt;=0,
TEXT($J33-$I33-$V$8,"[tt]:mm"),
"-"&amp;TEXT(ABS($J33-$I33-$V$8),"[tt]:mm")
)
)
)
)
))</f>
        <v>0:00</v>
      </c>
      <c r="L33" s="54" t="str">
        <f t="shared" si="3"/>
        <v>0</v>
      </c>
      <c r="M33" s="58" t="str">
        <f t="shared" si="4"/>
        <v>0:</v>
      </c>
      <c r="N33" s="51" t="str">
        <f t="shared" si="5"/>
        <v>0</v>
      </c>
      <c r="O33" s="57">
        <f t="shared" si="6"/>
        <v>0</v>
      </c>
      <c r="P33" s="6">
        <f t="shared" si="7"/>
        <v>0</v>
      </c>
      <c r="Q33" s="69"/>
    </row>
    <row r="34" spans="1:17" ht="15.75" x14ac:dyDescent="0.25">
      <c r="A34" s="12">
        <f t="shared" si="1"/>
        <v>48</v>
      </c>
      <c r="B34" s="13">
        <f t="shared" si="8"/>
        <v>45624</v>
      </c>
      <c r="C34" s="14" t="str" cm="1">
        <f t="array" ref="C34">_xlfn.SWITCH(WEEKDAY($D34, 2), 1, "Monday", 2, "Tuesday", 3, "Wednesday", 4, "Thursday", 5, "Friday", 6, "Saturday", 7, "Sunday")</f>
        <v>Thursday</v>
      </c>
      <c r="D34">
        <f t="shared" si="0"/>
        <v>5</v>
      </c>
      <c r="E34" s="42">
        <f t="shared" si="2"/>
        <v>45624</v>
      </c>
      <c r="F34" s="15" t="s">
        <v>21</v>
      </c>
      <c r="G34" s="17">
        <f>IFERROR(
    IF($F34="N", $V$8,
        IF(OR(
            AND(Masterdata!$B$4&lt;&gt;DATE(1900,1,0), Masterdata!$B$4&lt;$E34),
            AND(Masterdata!$B$3&lt;&gt;DATE(1900,1,0), Masterdata!$B$3&gt;$E34)
        ),
        IF($H34&gt;=TIME(0,0,0), "Write in the next field", 0),
        IF($H34&gt;=TIME(0,0,0), "Write in the next field",
            IF($H34&gt;=0, 0,
                IF(OR($C34="Saturday", $C34="Sunday"), 0, 0)
            )
        )
    )),
"Write in the next field")</f>
        <v>0.30833333333333335</v>
      </c>
      <c r="H34" s="16">
        <v>0</v>
      </c>
      <c r="I34" s="16">
        <v>0</v>
      </c>
      <c r="J34" s="16">
        <v>0</v>
      </c>
      <c r="K34" s="63" t="str">
        <f>IF(F34="N","0:00",IF(
OR(
AND(Masterdata!$B$4&lt;&gt;DATE(1900,1,0),Masterdata!$B$4&lt;$E34),
AND(Masterdata!$B$3&lt;&gt;DATE(1900,1,0),Masterdata!$B$3&gt;$E34)
),
"0:00",
IF(
$H34&gt;TIME(0,0,0),
IF(
OR($C34="Saturday",$C34="Sunday"),
TEXT($H34,"[tt]:mm"),
IF($H34-$V$8&gt;=0,TEXT($H34-$V$8,"[tt]:mm"),"-"&amp;TEXT(ABS($H34-$V$8),"[tt]:mm"))
),
IF(
OR($C34="Saturday",$C34="Sunday"),
IF($J34-$I34&gt;=0,TEXT($J34-$I34,"[tt]:mm"),"-"&amp;TEXT(ABS($J34-$I34),"[tt]:mm")),
IFERROR(
IF($G34-$V$8=0,
IF($G34-$V$8&gt;=0,TEXT($G34-$V$8,"[tt]:mm"),"-"&amp;TEXT(ABS($G34-$V$8),"[tt]:mm")),
IF($J34-$I34&gt;=0,TEXT($J34-$I34,"[tt]:mm"),"-"&amp;TEXT(ABS($J34-$I34),"[tt]:mm"))
),
IF(
$J34-$I34-$V$8&gt;=0,
TEXT($J34-$I34-$V$8,"[tt]:mm"),
"-"&amp;TEXT(ABS($J34-$I34-$V$8),"[tt]:mm")
)
)
)
)
))</f>
        <v>0:00</v>
      </c>
      <c r="L34" s="54" t="str">
        <f t="shared" si="3"/>
        <v>0</v>
      </c>
      <c r="M34" s="58" t="str">
        <f t="shared" si="4"/>
        <v>0:</v>
      </c>
      <c r="N34" s="51" t="str">
        <f t="shared" si="5"/>
        <v>0</v>
      </c>
      <c r="O34" s="57">
        <f t="shared" si="6"/>
        <v>0</v>
      </c>
      <c r="P34" s="6">
        <f t="shared" si="7"/>
        <v>0</v>
      </c>
      <c r="Q34" s="69"/>
    </row>
    <row r="35" spans="1:17" ht="15.75" x14ac:dyDescent="0.25">
      <c r="A35" s="12">
        <f t="shared" si="1"/>
        <v>48</v>
      </c>
      <c r="B35" s="13">
        <f t="shared" si="8"/>
        <v>45625</v>
      </c>
      <c r="C35" s="14" t="str" cm="1">
        <f t="array" ref="C35">_xlfn.SWITCH(WEEKDAY($D35, 2), 1, "Monday", 2, "Tuesday", 3, "Wednesday", 4, "Thursday", 5, "Friday", 6, "Saturday", 7, "Sunday")</f>
        <v>Friday</v>
      </c>
      <c r="D35">
        <f t="shared" si="0"/>
        <v>6</v>
      </c>
      <c r="E35" s="42">
        <f t="shared" si="2"/>
        <v>45625</v>
      </c>
      <c r="F35" s="15" t="s">
        <v>21</v>
      </c>
      <c r="G35" s="17">
        <f>IFERROR(
    IF($F35="N", $V$8,
        IF(OR(
            AND(Masterdata!$B$4&lt;&gt;DATE(1900,1,0), Masterdata!$B$4&lt;$E35),
            AND(Masterdata!$B$3&lt;&gt;DATE(1900,1,0), Masterdata!$B$3&gt;$E35)
        ),
        IF($H35&gt;=TIME(0,0,0), "Write in the next field", 0),
        IF($H35&gt;=TIME(0,0,0), "Write in the next field",
            IF($H35&gt;=0, 0,
                IF(OR($C35="Saturday", $C35="Sunday"), 0, 0)
            )
        )
    )),
"Write in the next field")</f>
        <v>0.30833333333333335</v>
      </c>
      <c r="H35" s="16">
        <v>0</v>
      </c>
      <c r="I35" s="16">
        <v>0</v>
      </c>
      <c r="J35" s="16">
        <v>0</v>
      </c>
      <c r="K35" s="63" t="str">
        <f>IF(F35="N","0:00",IF(
OR(
AND(Masterdata!$B$4&lt;&gt;DATE(1900,1,0),Masterdata!$B$4&lt;$E35),
AND(Masterdata!$B$3&lt;&gt;DATE(1900,1,0),Masterdata!$B$3&gt;$E35)
),
"0:00",
IF(
$H35&gt;TIME(0,0,0),
IF(
OR($C35="Saturday",$C35="Sunday"),
TEXT($H35,"[tt]:mm"),
IF($H35-$V$8&gt;=0,TEXT($H35-$V$8,"[tt]:mm"),"-"&amp;TEXT(ABS($H35-$V$8),"[tt]:mm"))
),
IF(
OR($C35="Saturday",$C35="Sunday"),
IF($J35-$I35&gt;=0,TEXT($J35-$I35,"[tt]:mm"),"-"&amp;TEXT(ABS($J35-$I35),"[tt]:mm")),
IFERROR(
IF($G35-$V$8=0,
IF($G35-$V$8&gt;=0,TEXT($G35-$V$8,"[tt]:mm"),"-"&amp;TEXT(ABS($G35-$V$8),"[tt]:mm")),
IF($J35-$I35&gt;=0,TEXT($J35-$I35,"[tt]:mm"),"-"&amp;TEXT(ABS($J35-$I35),"[tt]:mm"))
),
IF(
$J35-$I35-$V$8&gt;=0,
TEXT($J35-$I35-$V$8,"[tt]:mm"),
"-"&amp;TEXT(ABS($J35-$I35-$V$8),"[tt]:mm")
)
)
)
)
))</f>
        <v>0:00</v>
      </c>
      <c r="L35" s="54" t="str">
        <f t="shared" si="3"/>
        <v>0</v>
      </c>
      <c r="M35" s="58" t="str">
        <f t="shared" si="4"/>
        <v>0:</v>
      </c>
      <c r="N35" s="51" t="str">
        <f t="shared" si="5"/>
        <v>0</v>
      </c>
      <c r="O35" s="57">
        <f t="shared" si="6"/>
        <v>0</v>
      </c>
      <c r="P35" s="6">
        <f t="shared" si="7"/>
        <v>0</v>
      </c>
      <c r="Q35" s="69"/>
    </row>
    <row r="36" spans="1:17" ht="15.75" x14ac:dyDescent="0.25">
      <c r="A36" s="12">
        <f t="shared" si="1"/>
        <v>48</v>
      </c>
      <c r="B36" s="13">
        <f t="shared" si="8"/>
        <v>45626</v>
      </c>
      <c r="C36" s="14" t="str" cm="1">
        <f t="array" ref="C36">_xlfn.SWITCH(WEEKDAY($D36, 2), 1, "Monday", 2, "Tuesday", 3, "Wednesday", 4, "Thursday", 5, "Friday", 6, "Saturday", 7, "Sunday")</f>
        <v>Saturday</v>
      </c>
      <c r="D36">
        <f t="shared" si="0"/>
        <v>7</v>
      </c>
      <c r="E36" s="42">
        <f t="shared" si="2"/>
        <v>45626</v>
      </c>
      <c r="F36" s="15" t="s">
        <v>21</v>
      </c>
      <c r="G36" s="17">
        <f>IF($F36="N",0,"Write in the next field")</f>
        <v>0</v>
      </c>
      <c r="H36" s="16">
        <v>0</v>
      </c>
      <c r="I36" s="16">
        <v>0</v>
      </c>
      <c r="J36" s="16">
        <v>0</v>
      </c>
      <c r="K36" s="63" t="str">
        <f>IF(F36="N","0:00",IF(
OR(
AND(Masterdata!$B$4&lt;&gt;DATE(1900,1,0),Masterdata!$B$4&lt;$E36),
AND(Masterdata!$B$3&lt;&gt;DATE(1900,1,0),Masterdata!$B$3&gt;$E36)
),
"0:00",
IF(
$H36&gt;TIME(0,0,0),
IF(
OR($C36="Saturday",$C36="Sunday"),
TEXT($H36,"[tt]:mm"),
IF($H36-$V$8&gt;=0,TEXT($H36-$V$8,"[tt]:mm"),"-"&amp;TEXT(ABS($H36-$V$8),"[tt]:mm"))
),
IF(
OR($C36="Saturday",$C36="Sunday"),
IF($J36-$I36&gt;=0,TEXT($J36-$I36,"[tt]:mm"),"-"&amp;TEXT(ABS($J36-$I36),"[tt]:mm")),
IFERROR(
IF($G36-$V$8=0,
IF($G36-$V$8&gt;=0,TEXT($G36-$V$8,"[tt]:mm"),"-"&amp;TEXT(ABS($G36-$V$8),"[tt]:mm")),
IF($J36-$I36&gt;=0,TEXT($J36-$I36,"[tt]:mm"),"-"&amp;TEXT(ABS($J36-$I36),"[tt]:mm"))
),
IF(
$J36-$I36-$V$8&gt;=0,
TEXT($J36-$I36-$V$8,"[tt]:mm"),
"-"&amp;TEXT(ABS($J36-$I36-$V$8),"[tt]:mm")
)
)
)
)
))</f>
        <v>0:00</v>
      </c>
      <c r="L36" s="54" t="str">
        <f t="shared" si="3"/>
        <v>0</v>
      </c>
      <c r="M36" s="58" t="str">
        <f t="shared" si="4"/>
        <v>0:</v>
      </c>
      <c r="N36" s="51" t="str">
        <f t="shared" si="5"/>
        <v>0</v>
      </c>
      <c r="O36" s="57">
        <f t="shared" si="6"/>
        <v>0</v>
      </c>
      <c r="P36" s="6">
        <f t="shared" si="7"/>
        <v>0</v>
      </c>
      <c r="Q36" s="69"/>
    </row>
    <row r="37" spans="1:17" x14ac:dyDescent="0.25">
      <c r="K37" s="8"/>
      <c r="P37" s="6">
        <f>SUM(P7:P36)</f>
        <v>0</v>
      </c>
    </row>
  </sheetData>
  <sheetProtection algorithmName="SHA-512" hashValue="YySruvyUGOkBt2Jj3Vut/phU2CklCBbW2S0/AKbRiD0O5TsEUY2360nA1jBgYLYqlrsijs7QFHsXI8MMGjAysQ==" saltValue="AywvybIJsXnAc/mw7BTW1g==" spinCount="100000" sheet="1" objects="1" scenarios="1"/>
  <conditionalFormatting sqref="A7:G36">
    <cfRule type="expression" dxfId="13" priority="1">
      <formula>OR($C7="Saturday", $C7="Sunday")</formula>
    </cfRule>
  </conditionalFormatting>
  <conditionalFormatting sqref="G7:G36">
    <cfRule type="expression" dxfId="12" priority="2">
      <formula>AND($F7="N", NOT(OR($C7="Saturday", $C7="Sunday")))</formula>
    </cfRule>
  </conditionalFormatting>
  <conditionalFormatting sqref="H7:J36 A7:B36 D7:F36">
    <cfRule type="expression" dxfId="11" priority="144">
      <formula>OR($C7="lørdag", $C7="søndag")</formula>
    </cfRule>
  </conditionalFormatting>
  <conditionalFormatting sqref="H7:J36">
    <cfRule type="expression" dxfId="10" priority="143">
      <formula>OR($F7="N")</formula>
    </cfRule>
    <cfRule type="expression" dxfId="9" priority="145">
      <formula>$F7="R"</formula>
    </cfRule>
  </conditionalFormatting>
  <dataValidations count="1">
    <dataValidation type="list" allowBlank="1" showInputMessage="1" showErrorMessage="1" sqref="F7:F36" xr:uid="{A7F6AB7B-6516-475C-ADD5-9AB1396163FE}">
      <formula1>$Q$2:$Q$3</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1CD1-0E94-4AEC-A9D1-1FF6CAFBB9BA}">
  <dimension ref="A1:X38"/>
  <sheetViews>
    <sheetView zoomScale="70" zoomScaleNormal="70" workbookViewId="0">
      <selection activeCell="R13" sqref="R13"/>
    </sheetView>
  </sheetViews>
  <sheetFormatPr defaultRowHeight="15" outlineLevelCol="1" x14ac:dyDescent="0.25"/>
  <cols>
    <col min="1" max="1" width="20.85546875" bestFit="1" customWidth="1"/>
    <col min="2" max="2" width="14.140625" customWidth="1"/>
    <col min="3" max="3" width="11.28515625" customWidth="1"/>
    <col min="4" max="4" width="15" hidden="1" customWidth="1"/>
    <col min="5" max="5" width="12.85546875" hidden="1" customWidth="1"/>
    <col min="6" max="6" width="11.28515625" customWidth="1"/>
    <col min="7" max="8" width="20.85546875" bestFit="1" customWidth="1"/>
    <col min="9" max="10" width="11.28515625" customWidth="1"/>
    <col min="11" max="11" width="17.28515625" bestFit="1" customWidth="1"/>
    <col min="12" max="16" width="11.5703125" hidden="1" customWidth="1" outlineLevel="1"/>
    <col min="17" max="17" width="28.5703125" customWidth="1" collapsed="1"/>
    <col min="18" max="18" width="90.7109375" bestFit="1" customWidth="1"/>
    <col min="19" max="19" width="9.140625" hidden="1" customWidth="1" outlineLevel="1"/>
    <col min="20" max="20" width="24.7109375" hidden="1" customWidth="1" outlineLevel="1"/>
    <col min="21" max="21" width="43" hidden="1" customWidth="1" outlineLevel="1"/>
    <col min="22" max="22" width="7.85546875" hidden="1" customWidth="1" outlineLevel="1"/>
    <col min="23" max="23" width="19.42578125" hidden="1" customWidth="1" outlineLevel="1"/>
    <col min="24" max="24" width="9.140625" collapsed="1"/>
  </cols>
  <sheetData>
    <row r="1" spans="1:24" ht="17.25" thickBot="1" x14ac:dyDescent="0.35">
      <c r="A1" s="36" t="str">
        <f>Masterdata!B13</f>
        <v>Standard work hours</v>
      </c>
      <c r="B1" s="37">
        <v>37</v>
      </c>
      <c r="Q1" s="45" t="s">
        <v>84</v>
      </c>
      <c r="R1" s="46" t="s">
        <v>85</v>
      </c>
    </row>
    <row r="2" spans="1:24" ht="30.75" x14ac:dyDescent="0.25">
      <c r="A2" s="34" t="s">
        <v>79</v>
      </c>
      <c r="B2" s="84" t="str">
        <f>IF(P38&lt;0,"-"&amp;TEXT(ABS(P38/24),"[TT]:mm"),TEXT(P38/24,"[TT]:mm"))</f>
        <v>00:00</v>
      </c>
      <c r="Q2" s="47" t="s">
        <v>21</v>
      </c>
      <c r="R2" s="49" t="s">
        <v>96</v>
      </c>
    </row>
    <row r="3" spans="1:24" ht="63" x14ac:dyDescent="0.25">
      <c r="A3" s="39" t="s">
        <v>72</v>
      </c>
      <c r="B3" s="40">
        <f>B7</f>
        <v>45627</v>
      </c>
      <c r="Q3" s="48" t="s">
        <v>23</v>
      </c>
      <c r="R3" s="85" t="s">
        <v>97</v>
      </c>
    </row>
    <row r="4" spans="1:24" ht="16.5" thickBot="1" x14ac:dyDescent="0.3">
      <c r="A4" s="35" t="s">
        <v>81</v>
      </c>
      <c r="B4" s="41" t="s">
        <v>16</v>
      </c>
      <c r="Q4" s="44" t="s">
        <v>87</v>
      </c>
      <c r="R4" s="43" t="s">
        <v>88</v>
      </c>
    </row>
    <row r="5" spans="1:24" ht="15.75" thickBot="1" x14ac:dyDescent="0.3"/>
    <row r="6" spans="1:24" ht="21.75" customHeight="1" thickBot="1" x14ac:dyDescent="0.3">
      <c r="A6" s="9" t="s">
        <v>89</v>
      </c>
      <c r="B6" s="10" t="s">
        <v>90</v>
      </c>
      <c r="C6" s="10" t="s">
        <v>91</v>
      </c>
      <c r="D6" s="10" t="s">
        <v>30</v>
      </c>
      <c r="E6" s="10" t="s">
        <v>31</v>
      </c>
      <c r="F6" s="10" t="s">
        <v>84</v>
      </c>
      <c r="G6" s="10" t="s">
        <v>77</v>
      </c>
      <c r="H6" s="10" t="s">
        <v>92</v>
      </c>
      <c r="I6" s="11" t="s">
        <v>34</v>
      </c>
      <c r="J6" s="11" t="s">
        <v>93</v>
      </c>
      <c r="K6" s="10" t="s">
        <v>94</v>
      </c>
      <c r="L6" s="55" t="s">
        <v>37</v>
      </c>
      <c r="M6" s="56" t="s">
        <v>38</v>
      </c>
      <c r="N6" s="56" t="s">
        <v>39</v>
      </c>
      <c r="O6" s="56"/>
      <c r="Q6" s="10" t="s">
        <v>95</v>
      </c>
      <c r="U6" t="s">
        <v>41</v>
      </c>
      <c r="V6">
        <v>5</v>
      </c>
    </row>
    <row r="7" spans="1:24" ht="15.75" x14ac:dyDescent="0.25">
      <c r="A7" s="12">
        <f>WEEKNUM($B7,21)</f>
        <v>48</v>
      </c>
      <c r="B7" s="13">
        <f>DATE(Masterdata!$B$5,12,1)</f>
        <v>45627</v>
      </c>
      <c r="C7" s="14" t="str" cm="1">
        <f t="array" ref="C7">_xlfn.SWITCH(WEEKDAY($D7, 2), 1, "Monday", 2, "Tuesday", 3, "Wednesday", 4, "Thursday", 5, "Friday", 6, "Saturday", 7, "Sunday")</f>
        <v>Sunday</v>
      </c>
      <c r="D7">
        <f t="shared" ref="D7:D37" si="0">WEEKDAY($B7, 2)+1</f>
        <v>8</v>
      </c>
      <c r="E7" s="42">
        <f>$B7</f>
        <v>45627</v>
      </c>
      <c r="F7" s="15" t="s">
        <v>21</v>
      </c>
      <c r="G7" s="17">
        <f>IF($F7="N",0,"Write in the next field")</f>
        <v>0</v>
      </c>
      <c r="H7" s="16"/>
      <c r="I7" s="16">
        <v>0</v>
      </c>
      <c r="J7" s="16">
        <v>0</v>
      </c>
      <c r="K7" s="63" t="str">
        <f>IF(F7="N","0:00",IF(
OR(
AND(Masterdata!$B$4&lt;&gt;DATE(1900,1,0),Masterdata!$B$4&lt;$E7),
AND(Masterdata!$B$3&lt;&gt;DATE(1900,1,0),Masterdata!$B$3&gt;$E7)
),
"0:00",
IF(
$H7&gt;TIME(0,0,0),
IF(
OR($C7="Saturday",$C7="Sunday"),
TEXT($H7,"[tt]:mm"),
IF($H7-$V$8&gt;=0,TEXT($H7-$V$8,"[tt]:mm"),"-"&amp;TEXT(ABS($H7-$V$8),"[tt]:mm"))
),
IF(
OR($C7="Saturday",$C7="Sunday"),
IF($J7-$I7&gt;=0,TEXT($J7-$I7,"[tt]:mm"),"-"&amp;TEXT(ABS($J7-$I7),"[tt]:mm")),
IFERROR(
IF($G7-$V$8=0,
IF($G7-$V$8&gt;=0,TEXT($G7-$V$8,"[tt]:mm"),"-"&amp;TEXT(ABS($G7-$V$8),"[tt]:mm")),
IF($J7-$I7&gt;=0,TEXT($J7-$I7,"[tt]:mm"),"-"&amp;TEXT(ABS($J7-$I7),"[tt]:mm"))
),
IF(
$J7-$I7-$V$8&gt;=0,
TEXT($J7-$I7-$V$8,"[tt]:mm"),
"-"&amp;TEXT(ABS($J7-$I7-$V$8),"[tt]:mm")
)
)
)
)
))</f>
        <v>0:00</v>
      </c>
      <c r="L7" s="54" t="str">
        <f>LEFT(K7,1)</f>
        <v>0</v>
      </c>
      <c r="M7" s="58" t="str">
        <f>IF($L7="-",LEFT($K7,3),LEFT($K7,2))</f>
        <v>0:</v>
      </c>
      <c r="N7" s="51" t="str">
        <f>IF($L7="-",MID($K7,5,2),MID($K7,4,2))</f>
        <v>0</v>
      </c>
      <c r="O7" s="57">
        <f>N7/60</f>
        <v>0</v>
      </c>
      <c r="P7" s="6">
        <f>IF(L7="-",M7-O7,M7+O7)</f>
        <v>0</v>
      </c>
      <c r="Q7" s="68"/>
      <c r="R7" s="53"/>
      <c r="U7" t="s">
        <v>42</v>
      </c>
      <c r="V7" s="3">
        <f>B1/V6</f>
        <v>7.4</v>
      </c>
      <c r="W7">
        <v>0</v>
      </c>
      <c r="X7" s="8"/>
    </row>
    <row r="8" spans="1:24" ht="15.75" x14ac:dyDescent="0.25">
      <c r="A8" s="12">
        <f t="shared" ref="A8:A37" si="1">WEEKNUM($B8,21)</f>
        <v>49</v>
      </c>
      <c r="B8" s="13">
        <f>B7+1</f>
        <v>45628</v>
      </c>
      <c r="C8" s="14" t="str" cm="1">
        <f t="array" ref="C8">_xlfn.SWITCH(WEEKDAY($D8, 2), 1, "Monday", 2, "Tuesday", 3, "Wednesday", 4, "Thursday", 5, "Friday", 6, "Saturday", 7, "Sunday")</f>
        <v>Monday</v>
      </c>
      <c r="D8">
        <f t="shared" si="0"/>
        <v>2</v>
      </c>
      <c r="E8" s="42">
        <f t="shared" ref="E8:E37" si="2">$B8</f>
        <v>45628</v>
      </c>
      <c r="F8" s="15" t="s">
        <v>21</v>
      </c>
      <c r="G8" s="17">
        <f>IFERROR(
    IF($F8="N", $V$8,
        IF(OR(
            AND(Masterdata!$B$4&lt;&gt;DATE(1900,1,0), Masterdata!$B$4&lt;$E8),
            AND(Masterdata!$B$3&lt;&gt;DATE(1900,1,0), Masterdata!$B$3&gt;$E8)
        ),
        IF($H8&gt;=TIME(0,0,0), "Write in the next field", 0),
        IF($H8&gt;=TIME(0,0,0), "Write in the next field",
            IF($H8&gt;=0, 0,
                IF(OR($C8="Saturday", $C8="Sunday"), 0, 0)
            )
        )
    )),
"Write in the next field")</f>
        <v>0.30833333333333335</v>
      </c>
      <c r="H8" s="16">
        <v>0</v>
      </c>
      <c r="I8" s="16">
        <v>0</v>
      </c>
      <c r="J8" s="16">
        <v>0</v>
      </c>
      <c r="K8" s="63" t="str">
        <f>IF(F8="N","0:00",IF(
OR(
AND(Masterdata!$B$4&lt;&gt;DATE(1900,1,0),Masterdata!$B$4&lt;$E8),
AND(Masterdata!$B$3&lt;&gt;DATE(1900,1,0),Masterdata!$B$3&gt;$E8)
),
"0:00",
IF(
$H8&gt;TIME(0,0,0),
IF(
OR($C8="Saturday",$C8="Sunday"),
TEXT($H8,"[tt]:mm"),
IF($H8-$V$8&gt;=0,TEXT($H8-$V$8,"[tt]:mm"),"-"&amp;TEXT(ABS($H8-$V$8),"[tt]:mm"))
),
IF(
OR($C8="Saturday",$C8="Sunday"),
IF($J8-$I8&gt;=0,TEXT($J8-$I8,"[tt]:mm"),"-"&amp;TEXT(ABS($J8-$I8),"[tt]:mm")),
IFERROR(
IF($G8-$V$8=0,
IF($G8-$V$8&gt;=0,TEXT($G8-$V$8,"[tt]:mm"),"-"&amp;TEXT(ABS($G8-$V$8),"[tt]:mm")),
IF($J8-$I8&gt;=0,TEXT($J8-$I8,"[tt]:mm"),"-"&amp;TEXT(ABS($J8-$I8),"[tt]:mm"))
),
IF(
$J8-$I8-$V$8&gt;=0,
TEXT($J8-$I8-$V$8,"[tt]:mm"),
"-"&amp;TEXT(ABS($J8-$I8-$V$8),"[tt]:mm")
)
)
)
)
))</f>
        <v>0:00</v>
      </c>
      <c r="L8" s="54" t="str">
        <f t="shared" ref="L8:L37" si="3">LEFT(K8,1)</f>
        <v>0</v>
      </c>
      <c r="M8" s="58" t="str">
        <f t="shared" ref="M8:M37" si="4">IF($L8="-",LEFT($K8,3),LEFT($K8,2))</f>
        <v>0:</v>
      </c>
      <c r="N8" s="51" t="str">
        <f t="shared" ref="N8:N37" si="5">IF($L8="-",MID($K8,5,2),MID($K8,4,2))</f>
        <v>0</v>
      </c>
      <c r="O8" s="57">
        <f t="shared" ref="O8:O37" si="6">N8/60</f>
        <v>0</v>
      </c>
      <c r="P8" s="6">
        <f t="shared" ref="P8:P37" si="7">IF(L8="-",M8-O8,M8+O8)</f>
        <v>0</v>
      </c>
      <c r="Q8" s="69"/>
      <c r="U8" t="s">
        <v>43</v>
      </c>
      <c r="V8" s="8">
        <f>V7/24</f>
        <v>0.30833333333333335</v>
      </c>
    </row>
    <row r="9" spans="1:24" ht="15.75" x14ac:dyDescent="0.25">
      <c r="A9" s="12">
        <f t="shared" si="1"/>
        <v>49</v>
      </c>
      <c r="B9" s="13">
        <f t="shared" ref="B9:B37" si="8">B8+1</f>
        <v>45629</v>
      </c>
      <c r="C9" s="14" t="str" cm="1">
        <f t="array" ref="C9">_xlfn.SWITCH(WEEKDAY($D9, 2), 1, "Monday", 2, "Tuesday", 3, "Wednesday", 4, "Thursday", 5, "Friday", 6, "Saturday", 7, "Sunday")</f>
        <v>Tuesday</v>
      </c>
      <c r="D9">
        <f t="shared" si="0"/>
        <v>3</v>
      </c>
      <c r="E9" s="42">
        <f t="shared" si="2"/>
        <v>45629</v>
      </c>
      <c r="F9" s="15" t="s">
        <v>21</v>
      </c>
      <c r="G9" s="17">
        <f>IFERROR(
    IF($F9="N", $V$8,
        IF(OR(
            AND(Masterdata!$B$4&lt;&gt;DATE(1900,1,0), Masterdata!$B$4&lt;$E9),
            AND(Masterdata!$B$3&lt;&gt;DATE(1900,1,0), Masterdata!$B$3&gt;$E9)
        ),
        IF($H9&gt;=TIME(0,0,0), "Write in the next field", 0),
        IF($H9&gt;=TIME(0,0,0), "Write in the next field",
            IF($H9&gt;=0, 0,
                IF(OR($C9="Saturday", $C9="Sunday"), 0, 0)
            )
        )
    )),
"Write in the next field")</f>
        <v>0.30833333333333335</v>
      </c>
      <c r="H9" s="16">
        <v>0</v>
      </c>
      <c r="I9" s="16">
        <v>0</v>
      </c>
      <c r="J9" s="16">
        <v>0</v>
      </c>
      <c r="K9" s="63" t="str">
        <f>IF(F9="N","0:00",IF(
OR(
AND(Masterdata!$B$4&lt;&gt;DATE(1900,1,0),Masterdata!$B$4&lt;$E9),
AND(Masterdata!$B$3&lt;&gt;DATE(1900,1,0),Masterdata!$B$3&gt;$E9)
),
"0:00",
IF(
$H9&gt;TIME(0,0,0),
IF(
OR($C9="Saturday",$C9="Sunday"),
TEXT($H9,"[tt]:mm"),
IF($H9-$V$8&gt;=0,TEXT($H9-$V$8,"[tt]:mm"),"-"&amp;TEXT(ABS($H9-$V$8),"[tt]:mm"))
),
IF(
OR($C9="Saturday",$C9="Sunday"),
IF($J9-$I9&gt;=0,TEXT($J9-$I9,"[tt]:mm"),"-"&amp;TEXT(ABS($J9-$I9),"[tt]:mm")),
IFERROR(
IF($G9-$V$8=0,
IF($G9-$V$8&gt;=0,TEXT($G9-$V$8,"[tt]:mm"),"-"&amp;TEXT(ABS($G9-$V$8),"[tt]:mm")),
IF($J9-$I9&gt;=0,TEXT($J9-$I9,"[tt]:mm"),"-"&amp;TEXT(ABS($J9-$I9),"[tt]:mm"))
),
IF(
$J9-$I9-$V$8&gt;=0,
TEXT($J9-$I9-$V$8,"[tt]:mm"),
"-"&amp;TEXT(ABS($J9-$I9-$V$8),"[tt]:mm")
)
)
)
)
))</f>
        <v>0:00</v>
      </c>
      <c r="L9" s="54" t="str">
        <f t="shared" si="3"/>
        <v>0</v>
      </c>
      <c r="M9" s="58" t="str">
        <f t="shared" si="4"/>
        <v>0:</v>
      </c>
      <c r="N9" s="51" t="str">
        <f t="shared" si="5"/>
        <v>0</v>
      </c>
      <c r="O9" s="57">
        <f t="shared" si="6"/>
        <v>0</v>
      </c>
      <c r="P9" s="6">
        <f t="shared" si="7"/>
        <v>0</v>
      </c>
      <c r="Q9" s="69"/>
      <c r="S9" t="s">
        <v>21</v>
      </c>
      <c r="T9" t="s">
        <v>44</v>
      </c>
      <c r="U9" t="s">
        <v>45</v>
      </c>
      <c r="V9" s="6">
        <f>(B1/37)*160.33</f>
        <v>160.33000000000001</v>
      </c>
    </row>
    <row r="10" spans="1:24" ht="15.75" x14ac:dyDescent="0.25">
      <c r="A10" s="12">
        <f t="shared" si="1"/>
        <v>49</v>
      </c>
      <c r="B10" s="13">
        <f t="shared" si="8"/>
        <v>45630</v>
      </c>
      <c r="C10" s="14" t="str" cm="1">
        <f t="array" ref="C10">_xlfn.SWITCH(WEEKDAY($D10, 2), 1, "Monday", 2, "Tuesday", 3, "Wednesday", 4, "Thursday", 5, "Friday", 6, "Saturday", 7, "Sunday")</f>
        <v>Wednesday</v>
      </c>
      <c r="D10">
        <f t="shared" si="0"/>
        <v>4</v>
      </c>
      <c r="E10" s="42">
        <f t="shared" si="2"/>
        <v>45630</v>
      </c>
      <c r="F10" s="15" t="s">
        <v>21</v>
      </c>
      <c r="G10" s="17">
        <f>IFERROR(
    IF($F10="N", $V$8,
        IF(OR(
            AND(Masterdata!$B$4&lt;&gt;DATE(1900,1,0), Masterdata!$B$4&lt;$E10),
            AND(Masterdata!$B$3&lt;&gt;DATE(1900,1,0), Masterdata!$B$3&gt;$E10)
        ),
        IF($H10&gt;=TIME(0,0,0), "Write in the next field", 0),
        IF($H10&gt;=TIME(0,0,0), "Write in the next field",
            IF($H10&gt;=0, 0,
                IF(OR($C10="Saturday", $C10="Sunday"), 0, 0)
            )
        )
    )),
"Write in the next field")</f>
        <v>0.30833333333333335</v>
      </c>
      <c r="H10" s="16">
        <v>0</v>
      </c>
      <c r="I10" s="16">
        <v>0</v>
      </c>
      <c r="J10" s="16">
        <v>0</v>
      </c>
      <c r="K10" s="63" t="str">
        <f>IF(F10="N","0:00",IF(
OR(
AND(Masterdata!$B$4&lt;&gt;DATE(1900,1,0),Masterdata!$B$4&lt;$E10),
AND(Masterdata!$B$3&lt;&gt;DATE(1900,1,0),Masterdata!$B$3&gt;$E10)
),
"0:00",
IF(
$H10&gt;TIME(0,0,0),
IF(
OR($C10="Saturday",$C10="Sunday"),
TEXT($H10,"[tt]:mm"),
IF($H10-$V$8&gt;=0,TEXT($H10-$V$8,"[tt]:mm"),"-"&amp;TEXT(ABS($H10-$V$8),"[tt]:mm"))
),
IF(
OR($C10="Saturday",$C10="Sunday"),
IF($J10-$I10&gt;=0,TEXT($J10-$I10,"[tt]:mm"),"-"&amp;TEXT(ABS($J10-$I10),"[tt]:mm")),
IFERROR(
IF($G10-$V$8=0,
IF($G10-$V$8&gt;=0,TEXT($G10-$V$8,"[tt]:mm"),"-"&amp;TEXT(ABS($G10-$V$8),"[tt]:mm")),
IF($J10-$I10&gt;=0,TEXT($J10-$I10,"[tt]:mm"),"-"&amp;TEXT(ABS($J10-$I10),"[tt]:mm"))
),
IF(
$J10-$I10-$V$8&gt;=0,
TEXT($J10-$I10-$V$8,"[tt]:mm"),
"-"&amp;TEXT(ABS($J10-$I10-$V$8),"[tt]:mm")
)
)
)
)
))</f>
        <v>0:00</v>
      </c>
      <c r="L10" s="54" t="str">
        <f t="shared" si="3"/>
        <v>0</v>
      </c>
      <c r="M10" s="58" t="str">
        <f t="shared" si="4"/>
        <v>0:</v>
      </c>
      <c r="N10" s="51" t="str">
        <f t="shared" si="5"/>
        <v>0</v>
      </c>
      <c r="O10" s="57">
        <f t="shared" si="6"/>
        <v>0</v>
      </c>
      <c r="P10" s="6">
        <f t="shared" si="7"/>
        <v>0</v>
      </c>
      <c r="Q10" s="69"/>
    </row>
    <row r="11" spans="1:24" ht="15.75" x14ac:dyDescent="0.25">
      <c r="A11" s="12">
        <f t="shared" si="1"/>
        <v>49</v>
      </c>
      <c r="B11" s="13">
        <f t="shared" si="8"/>
        <v>45631</v>
      </c>
      <c r="C11" s="14" t="str" cm="1">
        <f t="array" ref="C11">_xlfn.SWITCH(WEEKDAY($D11, 2), 1, "Monday", 2, "Tuesday", 3, "Wednesday", 4, "Thursday", 5, "Friday", 6, "Saturday", 7, "Sunday")</f>
        <v>Thursday</v>
      </c>
      <c r="D11">
        <f t="shared" si="0"/>
        <v>5</v>
      </c>
      <c r="E11" s="42">
        <f t="shared" si="2"/>
        <v>45631</v>
      </c>
      <c r="F11" s="15" t="s">
        <v>21</v>
      </c>
      <c r="G11" s="17">
        <f>IFERROR(
    IF($F11="N", $V$8,
        IF(OR(
            AND(Masterdata!$B$4&lt;&gt;DATE(1900,1,0), Masterdata!$B$4&lt;$E11),
            AND(Masterdata!$B$3&lt;&gt;DATE(1900,1,0), Masterdata!$B$3&gt;$E11)
        ),
        IF($H11&gt;=TIME(0,0,0), "Write in the next field", 0),
        IF($H11&gt;=TIME(0,0,0), "Write in the next field",
            IF($H11&gt;=0, 0,
                IF(OR($C11="Saturday", $C11="Sunday"), 0, 0)
            )
        )
    )),
"Write in the next field")</f>
        <v>0.30833333333333335</v>
      </c>
      <c r="H11" s="16">
        <v>0</v>
      </c>
      <c r="I11" s="16">
        <v>0</v>
      </c>
      <c r="J11" s="16">
        <v>0</v>
      </c>
      <c r="K11" s="63" t="str">
        <f>IF(F11="N","0:00",IF(
OR(
AND(Masterdata!$B$4&lt;&gt;DATE(1900,1,0),Masterdata!$B$4&lt;$E11),
AND(Masterdata!$B$3&lt;&gt;DATE(1900,1,0),Masterdata!$B$3&gt;$E11)
),
"0:00",
IF(
$H11&gt;TIME(0,0,0),
IF(
OR($C11="Saturday",$C11="Sunday"),
TEXT($H11,"[tt]:mm"),
IF($H11-$V$8&gt;=0,TEXT($H11-$V$8,"[tt]:mm"),"-"&amp;TEXT(ABS($H11-$V$8),"[tt]:mm"))
),
IF(
OR($C11="Saturday",$C11="Sunday"),
IF($J11-$I11&gt;=0,TEXT($J11-$I11,"[tt]:mm"),"-"&amp;TEXT(ABS($J11-$I11),"[tt]:mm")),
IFERROR(
IF($G11-$V$8=0,
IF($G11-$V$8&gt;=0,TEXT($G11-$V$8,"[tt]:mm"),"-"&amp;TEXT(ABS($G11-$V$8),"[tt]:mm")),
IF($J11-$I11&gt;=0,TEXT($J11-$I11,"[tt]:mm"),"-"&amp;TEXT(ABS($J11-$I11),"[tt]:mm"))
),
IF(
$J11-$I11-$V$8&gt;=0,
TEXT($J11-$I11-$V$8,"[tt]:mm"),
"-"&amp;TEXT(ABS($J11-$I11-$V$8),"[tt]:mm")
)
)
)
)
))</f>
        <v>0:00</v>
      </c>
      <c r="L11" s="54" t="str">
        <f t="shared" si="3"/>
        <v>0</v>
      </c>
      <c r="M11" s="58" t="str">
        <f t="shared" si="4"/>
        <v>0:</v>
      </c>
      <c r="N11" s="51" t="str">
        <f t="shared" si="5"/>
        <v>0</v>
      </c>
      <c r="O11" s="57">
        <f t="shared" si="6"/>
        <v>0</v>
      </c>
      <c r="P11" s="6">
        <f t="shared" si="7"/>
        <v>0</v>
      </c>
      <c r="Q11" s="69"/>
      <c r="V11" s="6"/>
    </row>
    <row r="12" spans="1:24" ht="15.75" x14ac:dyDescent="0.25">
      <c r="A12" s="12">
        <f t="shared" si="1"/>
        <v>49</v>
      </c>
      <c r="B12" s="13">
        <f t="shared" si="8"/>
        <v>45632</v>
      </c>
      <c r="C12" s="14" t="str" cm="1">
        <f t="array" ref="C12">_xlfn.SWITCH(WEEKDAY($D12, 2), 1, "Monday", 2, "Tuesday", 3, "Wednesday", 4, "Thursday", 5, "Friday", 6, "Saturday", 7, "Sunday")</f>
        <v>Friday</v>
      </c>
      <c r="D12">
        <f t="shared" si="0"/>
        <v>6</v>
      </c>
      <c r="E12" s="42">
        <f t="shared" si="2"/>
        <v>45632</v>
      </c>
      <c r="F12" s="15" t="s">
        <v>21</v>
      </c>
      <c r="G12" s="17">
        <f>IFERROR(
    IF($F12="N", $V$8,
        IF(OR(
            AND(Masterdata!$B$4&lt;&gt;DATE(1900,1,0), Masterdata!$B$4&lt;$E12),
            AND(Masterdata!$B$3&lt;&gt;DATE(1900,1,0), Masterdata!$B$3&gt;$E12)
        ),
        IF($H12&gt;=TIME(0,0,0), "Write in the next field", 0),
        IF($H12&gt;=TIME(0,0,0), "Write in the next field",
            IF($H12&gt;=0, 0,
                IF(OR($C12="Saturday", $C12="Sunday"), 0, 0)
            )
        )
    )),
"Write in the next field")</f>
        <v>0.30833333333333335</v>
      </c>
      <c r="H12" s="16">
        <v>0</v>
      </c>
      <c r="I12" s="16">
        <v>0</v>
      </c>
      <c r="J12" s="16">
        <v>0</v>
      </c>
      <c r="K12" s="63" t="str">
        <f>IF(F12="N","0:00",IF(
OR(
AND(Masterdata!$B$4&lt;&gt;DATE(1900,1,0),Masterdata!$B$4&lt;$E12),
AND(Masterdata!$B$3&lt;&gt;DATE(1900,1,0),Masterdata!$B$3&gt;$E12)
),
"0:00",
IF(
$H12&gt;TIME(0,0,0),
IF(
OR($C12="Saturday",$C12="Sunday"),
TEXT($H12,"[tt]:mm"),
IF($H12-$V$8&gt;=0,TEXT($H12-$V$8,"[tt]:mm"),"-"&amp;TEXT(ABS($H12-$V$8),"[tt]:mm"))
),
IF(
OR($C12="Saturday",$C12="Sunday"),
IF($J12-$I12&gt;=0,TEXT($J12-$I12,"[tt]:mm"),"-"&amp;TEXT(ABS($J12-$I12),"[tt]:mm")),
IFERROR(
IF($G12-$V$8=0,
IF($G12-$V$8&gt;=0,TEXT($G12-$V$8,"[tt]:mm"),"-"&amp;TEXT(ABS($G12-$V$8),"[tt]:mm")),
IF($J12-$I12&gt;=0,TEXT($J12-$I12,"[tt]:mm"),"-"&amp;TEXT(ABS($J12-$I12),"[tt]:mm"))
),
IF(
$J12-$I12-$V$8&gt;=0,
TEXT($J12-$I12-$V$8,"[tt]:mm"),
"-"&amp;TEXT(ABS($J12-$I12-$V$8),"[tt]:mm")
)
)
)
)
))</f>
        <v>0:00</v>
      </c>
      <c r="L12" s="54" t="str">
        <f t="shared" si="3"/>
        <v>0</v>
      </c>
      <c r="M12" s="58" t="str">
        <f t="shared" si="4"/>
        <v>0:</v>
      </c>
      <c r="N12" s="51" t="str">
        <f t="shared" si="5"/>
        <v>0</v>
      </c>
      <c r="O12" s="57">
        <f t="shared" si="6"/>
        <v>0</v>
      </c>
      <c r="P12" s="6">
        <f t="shared" si="7"/>
        <v>0</v>
      </c>
      <c r="Q12" s="69"/>
      <c r="V12" s="38"/>
    </row>
    <row r="13" spans="1:24" ht="15.75" x14ac:dyDescent="0.25">
      <c r="A13" s="12">
        <f t="shared" si="1"/>
        <v>49</v>
      </c>
      <c r="B13" s="13">
        <f t="shared" si="8"/>
        <v>45633</v>
      </c>
      <c r="C13" s="14" t="str" cm="1">
        <f t="array" ref="C13">_xlfn.SWITCH(WEEKDAY($D13, 2), 1, "Monday", 2, "Tuesday", 3, "Wednesday", 4, "Thursday", 5, "Friday", 6, "Saturday", 7, "Sunday")</f>
        <v>Saturday</v>
      </c>
      <c r="D13">
        <f t="shared" si="0"/>
        <v>7</v>
      </c>
      <c r="E13" s="42">
        <f t="shared" si="2"/>
        <v>45633</v>
      </c>
      <c r="F13" s="15" t="s">
        <v>21</v>
      </c>
      <c r="G13" s="17">
        <f>IF($F13="N",0,"Write in the next field")</f>
        <v>0</v>
      </c>
      <c r="H13" s="16">
        <v>0</v>
      </c>
      <c r="I13" s="16">
        <v>0</v>
      </c>
      <c r="J13" s="16">
        <v>0</v>
      </c>
      <c r="K13" s="63" t="str">
        <f>IF(F13="N","0:00",IF(
OR(
AND(Masterdata!$B$4&lt;&gt;DATE(1900,1,0),Masterdata!$B$4&lt;$E13),
AND(Masterdata!$B$3&lt;&gt;DATE(1900,1,0),Masterdata!$B$3&gt;$E13)
),
"0:00",
IF(
$H13&gt;TIME(0,0,0),
IF(
OR($C13="Saturday",$C13="Sunday"),
TEXT($H13,"[tt]:mm"),
IF($H13-$V$8&gt;=0,TEXT($H13-$V$8,"[tt]:mm"),"-"&amp;TEXT(ABS($H13-$V$8),"[tt]:mm"))
),
IF(
OR($C13="Saturday",$C13="Sunday"),
IF($J13-$I13&gt;=0,TEXT($J13-$I13,"[tt]:mm"),"-"&amp;TEXT(ABS($J13-$I13),"[tt]:mm")),
IFERROR(
IF($G13-$V$8=0,
IF($G13-$V$8&gt;=0,TEXT($G13-$V$8,"[tt]:mm"),"-"&amp;TEXT(ABS($G13-$V$8),"[tt]:mm")),
IF($J13-$I13&gt;=0,TEXT($J13-$I13,"[tt]:mm"),"-"&amp;TEXT(ABS($J13-$I13),"[tt]:mm"))
),
IF(
$J13-$I13-$V$8&gt;=0,
TEXT($J13-$I13-$V$8,"[tt]:mm"),
"-"&amp;TEXT(ABS($J13-$I13-$V$8),"[tt]:mm")
)
)
)
)
))</f>
        <v>0:00</v>
      </c>
      <c r="L13" s="54" t="str">
        <f t="shared" si="3"/>
        <v>0</v>
      </c>
      <c r="M13" s="58" t="str">
        <f t="shared" si="4"/>
        <v>0:</v>
      </c>
      <c r="N13" s="51" t="str">
        <f t="shared" si="5"/>
        <v>0</v>
      </c>
      <c r="O13" s="57">
        <f t="shared" si="6"/>
        <v>0</v>
      </c>
      <c r="P13" s="6">
        <f t="shared" si="7"/>
        <v>0</v>
      </c>
      <c r="Q13" s="69"/>
    </row>
    <row r="14" spans="1:24" ht="15.75" x14ac:dyDescent="0.25">
      <c r="A14" s="12">
        <f t="shared" si="1"/>
        <v>49</v>
      </c>
      <c r="B14" s="13">
        <f t="shared" si="8"/>
        <v>45634</v>
      </c>
      <c r="C14" s="14" t="str" cm="1">
        <f t="array" ref="C14">_xlfn.SWITCH(WEEKDAY($D14, 2), 1, "Monday", 2, "Tuesday", 3, "Wednesday", 4, "Thursday", 5, "Friday", 6, "Saturday", 7, "Sunday")</f>
        <v>Sunday</v>
      </c>
      <c r="D14">
        <f t="shared" si="0"/>
        <v>8</v>
      </c>
      <c r="E14" s="42">
        <f t="shared" si="2"/>
        <v>45634</v>
      </c>
      <c r="F14" s="15" t="s">
        <v>21</v>
      </c>
      <c r="G14" s="17">
        <f>IF($F14="N",0,"Write in the next field")</f>
        <v>0</v>
      </c>
      <c r="H14" s="16">
        <v>0</v>
      </c>
      <c r="I14" s="16">
        <v>0</v>
      </c>
      <c r="J14" s="16">
        <v>0</v>
      </c>
      <c r="K14" s="63" t="str">
        <f>IF(F14="N","0:00",IF(
OR(
AND(Masterdata!$B$4&lt;&gt;DATE(1900,1,0),Masterdata!$B$4&lt;$E14),
AND(Masterdata!$B$3&lt;&gt;DATE(1900,1,0),Masterdata!$B$3&gt;$E14)
),
"0:00",
IF(
$H14&gt;TIME(0,0,0),
IF(
OR($C14="Saturday",$C14="Sunday"),
TEXT($H14,"[tt]:mm"),
IF($H14-$V$8&gt;=0,TEXT($H14-$V$8,"[tt]:mm"),"-"&amp;TEXT(ABS($H14-$V$8),"[tt]:mm"))
),
IF(
OR($C14="Saturday",$C14="Sunday"),
IF($J14-$I14&gt;=0,TEXT($J14-$I14,"[tt]:mm"),"-"&amp;TEXT(ABS($J14-$I14),"[tt]:mm")),
IFERROR(
IF($G14-$V$8=0,
IF($G14-$V$8&gt;=0,TEXT($G14-$V$8,"[tt]:mm"),"-"&amp;TEXT(ABS($G14-$V$8),"[tt]:mm")),
IF($J14-$I14&gt;=0,TEXT($J14-$I14,"[tt]:mm"),"-"&amp;TEXT(ABS($J14-$I14),"[tt]:mm"))
),
IF(
$J14-$I14-$V$8&gt;=0,
TEXT($J14-$I14-$V$8,"[tt]:mm"),
"-"&amp;TEXT(ABS($J14-$I14-$V$8),"[tt]:mm")
)
)
)
)
))</f>
        <v>0:00</v>
      </c>
      <c r="L14" s="54" t="str">
        <f t="shared" si="3"/>
        <v>0</v>
      </c>
      <c r="M14" s="58" t="str">
        <f t="shared" si="4"/>
        <v>0:</v>
      </c>
      <c r="N14" s="51" t="str">
        <f t="shared" si="5"/>
        <v>0</v>
      </c>
      <c r="O14" s="57">
        <f t="shared" si="6"/>
        <v>0</v>
      </c>
      <c r="P14" s="6">
        <f t="shared" si="7"/>
        <v>0</v>
      </c>
      <c r="Q14" s="69"/>
      <c r="S14" t="s">
        <v>46</v>
      </c>
      <c r="T14" t="s">
        <v>47</v>
      </c>
      <c r="U14" t="s">
        <v>48</v>
      </c>
      <c r="V14" s="6">
        <f>V9-V12</f>
        <v>160.33000000000001</v>
      </c>
    </row>
    <row r="15" spans="1:24" ht="15.75" x14ac:dyDescent="0.25">
      <c r="A15" s="12">
        <f t="shared" si="1"/>
        <v>50</v>
      </c>
      <c r="B15" s="13">
        <f t="shared" si="8"/>
        <v>45635</v>
      </c>
      <c r="C15" s="14" t="str" cm="1">
        <f t="array" ref="C15">_xlfn.SWITCH(WEEKDAY($D15, 2), 1, "Monday", 2, "Tuesday", 3, "Wednesday", 4, "Thursday", 5, "Friday", 6, "Saturday", 7, "Sunday")</f>
        <v>Monday</v>
      </c>
      <c r="D15">
        <f t="shared" si="0"/>
        <v>2</v>
      </c>
      <c r="E15" s="42">
        <f t="shared" si="2"/>
        <v>45635</v>
      </c>
      <c r="F15" s="15" t="s">
        <v>21</v>
      </c>
      <c r="G15" s="17">
        <f>IFERROR(
    IF($F15="N", $V$8,
        IF(OR(
            AND(Masterdata!$B$4&lt;&gt;DATE(1900,1,0), Masterdata!$B$4&lt;$E15),
            AND(Masterdata!$B$3&lt;&gt;DATE(1900,1,0), Masterdata!$B$3&gt;$E15)
        ),
        IF($H15&gt;=TIME(0,0,0), "Write in the next field", 0),
        IF($H15&gt;=TIME(0,0,0), "Write in the next field",
            IF($H15&gt;=0, 0,
                IF(OR($C15="Saturday", $C15="Sunday"), 0, 0)
            )
        )
    )),
"Write in the next field")</f>
        <v>0.30833333333333335</v>
      </c>
      <c r="H15" s="16">
        <v>0</v>
      </c>
      <c r="I15" s="16">
        <v>0</v>
      </c>
      <c r="J15" s="16">
        <v>0</v>
      </c>
      <c r="K15" s="63" t="str">
        <f>IF(F15="N","0:00",IF(
OR(
AND(Masterdata!$B$4&lt;&gt;DATE(1900,1,0),Masterdata!$B$4&lt;$E15),
AND(Masterdata!$B$3&lt;&gt;DATE(1900,1,0),Masterdata!$B$3&gt;$E15)
),
"0:00",
IF(
$H15&gt;TIME(0,0,0),
IF(
OR($C15="Saturday",$C15="Sunday"),
TEXT($H15,"[tt]:mm"),
IF($H15-$V$8&gt;=0,TEXT($H15-$V$8,"[tt]:mm"),"-"&amp;TEXT(ABS($H15-$V$8),"[tt]:mm"))
),
IF(
OR($C15="Saturday",$C15="Sunday"),
IF($J15-$I15&gt;=0,TEXT($J15-$I15,"[tt]:mm"),"-"&amp;TEXT(ABS($J15-$I15),"[tt]:mm")),
IFERROR(
IF($G15-$V$8=0,
IF($G15-$V$8&gt;=0,TEXT($G15-$V$8,"[tt]:mm"),"-"&amp;TEXT(ABS($G15-$V$8),"[tt]:mm")),
IF($J15-$I15&gt;=0,TEXT($J15-$I15,"[tt]:mm"),"-"&amp;TEXT(ABS($J15-$I15),"[tt]:mm"))
),
IF(
$J15-$I15-$V$8&gt;=0,
TEXT($J15-$I15-$V$8,"[tt]:mm"),
"-"&amp;TEXT(ABS($J15-$I15-$V$8),"[tt]:mm")
)
)
)
)
))</f>
        <v>0:00</v>
      </c>
      <c r="L15" s="54" t="str">
        <f t="shared" si="3"/>
        <v>0</v>
      </c>
      <c r="M15" s="58" t="str">
        <f t="shared" si="4"/>
        <v>0:</v>
      </c>
      <c r="N15" s="51" t="str">
        <f t="shared" si="5"/>
        <v>0</v>
      </c>
      <c r="O15" s="57">
        <f t="shared" si="6"/>
        <v>0</v>
      </c>
      <c r="P15" s="6">
        <f t="shared" si="7"/>
        <v>0</v>
      </c>
      <c r="Q15" s="69"/>
      <c r="S15" t="s">
        <v>49</v>
      </c>
      <c r="T15" t="s">
        <v>50</v>
      </c>
      <c r="U15" t="s">
        <v>51</v>
      </c>
      <c r="V15" s="6" t="e">
        <f>SUM(#REF!)</f>
        <v>#REF!</v>
      </c>
    </row>
    <row r="16" spans="1:24" ht="15.75" x14ac:dyDescent="0.25">
      <c r="A16" s="12">
        <f t="shared" si="1"/>
        <v>50</v>
      </c>
      <c r="B16" s="13">
        <f t="shared" si="8"/>
        <v>45636</v>
      </c>
      <c r="C16" s="14" t="str" cm="1">
        <f t="array" ref="C16">_xlfn.SWITCH(WEEKDAY($D16, 2), 1, "Monday", 2, "Tuesday", 3, "Wednesday", 4, "Thursday", 5, "Friday", 6, "Saturday", 7, "Sunday")</f>
        <v>Tuesday</v>
      </c>
      <c r="D16">
        <f t="shared" si="0"/>
        <v>3</v>
      </c>
      <c r="E16" s="42">
        <f t="shared" si="2"/>
        <v>45636</v>
      </c>
      <c r="F16" s="15" t="s">
        <v>21</v>
      </c>
      <c r="G16" s="17">
        <f>IFERROR(
    IF($F16="N", $V$8,
        IF(OR(
            AND(Masterdata!$B$4&lt;&gt;DATE(1900,1,0), Masterdata!$B$4&lt;$E16),
            AND(Masterdata!$B$3&lt;&gt;DATE(1900,1,0), Masterdata!$B$3&gt;$E16)
        ),
        IF($H16&gt;=TIME(0,0,0), "Write in the next field", 0),
        IF($H16&gt;=TIME(0,0,0), "Write in the next field",
            IF($H16&gt;=0, 0,
                IF(OR($C16="Saturday", $C16="Sunday"), 0, 0)
            )
        )
    )),
"Write in the next field")</f>
        <v>0.30833333333333335</v>
      </c>
      <c r="H16" s="16">
        <v>0</v>
      </c>
      <c r="I16" s="16">
        <v>0</v>
      </c>
      <c r="J16" s="16">
        <v>0</v>
      </c>
      <c r="K16" s="63" t="str">
        <f>IF(F16="N","0:00",IF(
OR(
AND(Masterdata!$B$4&lt;&gt;DATE(1900,1,0),Masterdata!$B$4&lt;$E16),
AND(Masterdata!$B$3&lt;&gt;DATE(1900,1,0),Masterdata!$B$3&gt;$E16)
),
"0:00",
IF(
$H16&gt;TIME(0,0,0),
IF(
OR($C16="Saturday",$C16="Sunday"),
TEXT($H16,"[tt]:mm"),
IF($H16-$V$8&gt;=0,TEXT($H16-$V$8,"[tt]:mm"),"-"&amp;TEXT(ABS($H16-$V$8),"[tt]:mm"))
),
IF(
OR($C16="Saturday",$C16="Sunday"),
IF($J16-$I16&gt;=0,TEXT($J16-$I16,"[tt]:mm"),"-"&amp;TEXT(ABS($J16-$I16),"[tt]:mm")),
IFERROR(
IF($G16-$V$8=0,
IF($G16-$V$8&gt;=0,TEXT($G16-$V$8,"[tt]:mm"),"-"&amp;TEXT(ABS($G16-$V$8),"[tt]:mm")),
IF($J16-$I16&gt;=0,TEXT($J16-$I16,"[tt]:mm"),"-"&amp;TEXT(ABS($J16-$I16),"[tt]:mm"))
),
IF(
$J16-$I16-$V$8&gt;=0,
TEXT($J16-$I16-$V$8,"[tt]:mm"),
"-"&amp;TEXT(ABS($J16-$I16-$V$8),"[tt]:mm")
)
)
)
)
))</f>
        <v>0:00</v>
      </c>
      <c r="L16" s="54" t="str">
        <f t="shared" si="3"/>
        <v>0</v>
      </c>
      <c r="M16" s="58" t="str">
        <f t="shared" si="4"/>
        <v>0:</v>
      </c>
      <c r="N16" s="51" t="str">
        <f t="shared" si="5"/>
        <v>0</v>
      </c>
      <c r="O16" s="57">
        <f t="shared" si="6"/>
        <v>0</v>
      </c>
      <c r="P16" s="6">
        <f t="shared" si="7"/>
        <v>0</v>
      </c>
      <c r="Q16" s="69"/>
      <c r="S16" t="s">
        <v>23</v>
      </c>
      <c r="T16" t="s">
        <v>52</v>
      </c>
      <c r="U16" t="s">
        <v>53</v>
      </c>
      <c r="V16" s="6" t="e">
        <f>V14-V15</f>
        <v>#REF!</v>
      </c>
    </row>
    <row r="17" spans="1:21" ht="15.75" x14ac:dyDescent="0.25">
      <c r="A17" s="12">
        <f t="shared" si="1"/>
        <v>50</v>
      </c>
      <c r="B17" s="13">
        <f t="shared" si="8"/>
        <v>45637</v>
      </c>
      <c r="C17" s="14" t="str" cm="1">
        <f t="array" ref="C17">_xlfn.SWITCH(WEEKDAY($D17, 2), 1, "Monday", 2, "Tuesday", 3, "Wednesday", 4, "Thursday", 5, "Friday", 6, "Saturday", 7, "Sunday")</f>
        <v>Wednesday</v>
      </c>
      <c r="D17">
        <f t="shared" si="0"/>
        <v>4</v>
      </c>
      <c r="E17" s="42">
        <f t="shared" si="2"/>
        <v>45637</v>
      </c>
      <c r="F17" s="15" t="s">
        <v>21</v>
      </c>
      <c r="G17" s="17">
        <f>IFERROR(
    IF($F17="N", $V$8,
        IF(OR(
            AND(Masterdata!$B$4&lt;&gt;DATE(1900,1,0), Masterdata!$B$4&lt;$E17),
            AND(Masterdata!$B$3&lt;&gt;DATE(1900,1,0), Masterdata!$B$3&gt;$E17)
        ),
        IF($H17&gt;=TIME(0,0,0), "Write in the next field", 0),
        IF($H17&gt;=TIME(0,0,0), "Write in the next field",
            IF($H17&gt;=0, 0,
                IF(OR($C17="Saturday", $C17="Sunday"), 0, 0)
            )
        )
    )),
"Write in the next field")</f>
        <v>0.30833333333333335</v>
      </c>
      <c r="H17" s="16">
        <v>0</v>
      </c>
      <c r="I17" s="16">
        <v>0</v>
      </c>
      <c r="J17" s="16">
        <v>0</v>
      </c>
      <c r="K17" s="63" t="str">
        <f>IF(F17="N","0:00",IF(
OR(
AND(Masterdata!$B$4&lt;&gt;DATE(1900,1,0),Masterdata!$B$4&lt;$E17),
AND(Masterdata!$B$3&lt;&gt;DATE(1900,1,0),Masterdata!$B$3&gt;$E17)
),
"0:00",
IF(
$H17&gt;TIME(0,0,0),
IF(
OR($C17="Saturday",$C17="Sunday"),
TEXT($H17,"[tt]:mm"),
IF($H17-$V$8&gt;=0,TEXT($H17-$V$8,"[tt]:mm"),"-"&amp;TEXT(ABS($H17-$V$8),"[tt]:mm"))
),
IF(
OR($C17="Saturday",$C17="Sunday"),
IF($J17-$I17&gt;=0,TEXT($J17-$I17,"[tt]:mm"),"-"&amp;TEXT(ABS($J17-$I17),"[tt]:mm")),
IFERROR(
IF($G17-$V$8=0,
IF($G17-$V$8&gt;=0,TEXT($G17-$V$8,"[tt]:mm"),"-"&amp;TEXT(ABS($G17-$V$8),"[tt]:mm")),
IF($J17-$I17&gt;=0,TEXT($J17-$I17,"[tt]:mm"),"-"&amp;TEXT(ABS($J17-$I17),"[tt]:mm"))
),
IF(
$J17-$I17-$V$8&gt;=0,
TEXT($J17-$I17-$V$8,"[tt]:mm"),
"-"&amp;TEXT(ABS($J17-$I17-$V$8),"[tt]:mm")
)
)
)
)
))</f>
        <v>0:00</v>
      </c>
      <c r="L17" s="54" t="str">
        <f t="shared" si="3"/>
        <v>0</v>
      </c>
      <c r="M17" s="58" t="str">
        <f t="shared" si="4"/>
        <v>0:</v>
      </c>
      <c r="N17" s="51" t="str">
        <f t="shared" si="5"/>
        <v>0</v>
      </c>
      <c r="O17" s="57">
        <f t="shared" si="6"/>
        <v>0</v>
      </c>
      <c r="P17" s="6">
        <f t="shared" si="7"/>
        <v>0</v>
      </c>
      <c r="Q17" s="69"/>
      <c r="U17" s="42"/>
    </row>
    <row r="18" spans="1:21" ht="15.75" x14ac:dyDescent="0.25">
      <c r="A18" s="12">
        <f t="shared" si="1"/>
        <v>50</v>
      </c>
      <c r="B18" s="13">
        <f t="shared" si="8"/>
        <v>45638</v>
      </c>
      <c r="C18" s="14" t="str" cm="1">
        <f t="array" ref="C18">_xlfn.SWITCH(WEEKDAY($D18, 2), 1, "Monday", 2, "Tuesday", 3, "Wednesday", 4, "Thursday", 5, "Friday", 6, "Saturday", 7, "Sunday")</f>
        <v>Thursday</v>
      </c>
      <c r="D18">
        <f t="shared" si="0"/>
        <v>5</v>
      </c>
      <c r="E18" s="42">
        <f t="shared" si="2"/>
        <v>45638</v>
      </c>
      <c r="F18" s="15" t="s">
        <v>21</v>
      </c>
      <c r="G18" s="17">
        <f>IFERROR(
    IF($F18="N", $V$8,
        IF(OR(
            AND(Masterdata!$B$4&lt;&gt;DATE(1900,1,0), Masterdata!$B$4&lt;$E18),
            AND(Masterdata!$B$3&lt;&gt;DATE(1900,1,0), Masterdata!$B$3&gt;$E18)
        ),
        IF($H18&gt;=TIME(0,0,0), "Write in the next field", 0),
        IF($H18&gt;=TIME(0,0,0), "Write in the next field",
            IF($H18&gt;=0, 0,
                IF(OR($C18="Saturday", $C18="Sunday"), 0, 0)
            )
        )
    )),
"Write in the next field")</f>
        <v>0.30833333333333335</v>
      </c>
      <c r="H18" s="16">
        <v>0</v>
      </c>
      <c r="I18" s="16">
        <v>0</v>
      </c>
      <c r="J18" s="16">
        <v>0</v>
      </c>
      <c r="K18" s="63" t="str">
        <f>IF(F18="N","0:00",IF(
OR(
AND(Masterdata!$B$4&lt;&gt;DATE(1900,1,0),Masterdata!$B$4&lt;$E18),
AND(Masterdata!$B$3&lt;&gt;DATE(1900,1,0),Masterdata!$B$3&gt;$E18)
),
"0:00",
IF(
$H18&gt;TIME(0,0,0),
IF(
OR($C18="Saturday",$C18="Sunday"),
TEXT($H18,"[tt]:mm"),
IF($H18-$V$8&gt;=0,TEXT($H18-$V$8,"[tt]:mm"),"-"&amp;TEXT(ABS($H18-$V$8),"[tt]:mm"))
),
IF(
OR($C18="Saturday",$C18="Sunday"),
IF($J18-$I18&gt;=0,TEXT($J18-$I18,"[tt]:mm"),"-"&amp;TEXT(ABS($J18-$I18),"[tt]:mm")),
IFERROR(
IF($G18-$V$8=0,
IF($G18-$V$8&gt;=0,TEXT($G18-$V$8,"[tt]:mm"),"-"&amp;TEXT(ABS($G18-$V$8),"[tt]:mm")),
IF($J18-$I18&gt;=0,TEXT($J18-$I18,"[tt]:mm"),"-"&amp;TEXT(ABS($J18-$I18),"[tt]:mm"))
),
IF(
$J18-$I18-$V$8&gt;=0,
TEXT($J18-$I18-$V$8,"[tt]:mm"),
"-"&amp;TEXT(ABS($J18-$I18-$V$8),"[tt]:mm")
)
)
)
)
))</f>
        <v>0:00</v>
      </c>
      <c r="L18" s="54" t="str">
        <f t="shared" si="3"/>
        <v>0</v>
      </c>
      <c r="M18" s="58" t="str">
        <f t="shared" si="4"/>
        <v>0:</v>
      </c>
      <c r="N18" s="51" t="str">
        <f t="shared" si="5"/>
        <v>0</v>
      </c>
      <c r="O18" s="57">
        <f t="shared" si="6"/>
        <v>0</v>
      </c>
      <c r="P18" s="6">
        <f t="shared" si="7"/>
        <v>0</v>
      </c>
      <c r="Q18" s="69"/>
      <c r="R18" s="52"/>
    </row>
    <row r="19" spans="1:21" ht="15.75" x14ac:dyDescent="0.25">
      <c r="A19" s="12">
        <f t="shared" si="1"/>
        <v>50</v>
      </c>
      <c r="B19" s="13">
        <f t="shared" si="8"/>
        <v>45639</v>
      </c>
      <c r="C19" s="14" t="str" cm="1">
        <f t="array" ref="C19">_xlfn.SWITCH(WEEKDAY($D19, 2), 1, "Monday", 2, "Tuesday", 3, "Wednesday", 4, "Thursday", 5, "Friday", 6, "Saturday", 7, "Sunday")</f>
        <v>Friday</v>
      </c>
      <c r="D19">
        <f t="shared" si="0"/>
        <v>6</v>
      </c>
      <c r="E19" s="42">
        <f t="shared" si="2"/>
        <v>45639</v>
      </c>
      <c r="F19" s="15" t="s">
        <v>21</v>
      </c>
      <c r="G19" s="17">
        <f>IFERROR(
    IF($F19="N", $V$8,
        IF(OR(
            AND(Masterdata!$B$4&lt;&gt;DATE(1900,1,0), Masterdata!$B$4&lt;$E19),
            AND(Masterdata!$B$3&lt;&gt;DATE(1900,1,0), Masterdata!$B$3&gt;$E19)
        ),
        IF($H19&gt;=TIME(0,0,0), "Write in the next field", 0),
        IF($H19&gt;=TIME(0,0,0), "Write in the next field",
            IF($H19&gt;=0, 0,
                IF(OR($C19="Saturday", $C19="Sunday"), 0, 0)
            )
        )
    )),
"Write in the next field")</f>
        <v>0.30833333333333335</v>
      </c>
      <c r="H19" s="16">
        <v>0</v>
      </c>
      <c r="I19" s="16">
        <v>0</v>
      </c>
      <c r="J19" s="16">
        <v>0</v>
      </c>
      <c r="K19" s="63" t="str">
        <f>IF(F19="N","0:00",IF(
OR(
AND(Masterdata!$B$4&lt;&gt;DATE(1900,1,0),Masterdata!$B$4&lt;$E19),
AND(Masterdata!$B$3&lt;&gt;DATE(1900,1,0),Masterdata!$B$3&gt;$E19)
),
"0:00",
IF(
$H19&gt;TIME(0,0,0),
IF(
OR($C19="Saturday",$C19="Sunday"),
TEXT($H19,"[tt]:mm"),
IF($H19-$V$8&gt;=0,TEXT($H19-$V$8,"[tt]:mm"),"-"&amp;TEXT(ABS($H19-$V$8),"[tt]:mm"))
),
IF(
OR($C19="Saturday",$C19="Sunday"),
IF($J19-$I19&gt;=0,TEXT($J19-$I19,"[tt]:mm"),"-"&amp;TEXT(ABS($J19-$I19),"[tt]:mm")),
IFERROR(
IF($G19-$V$8=0,
IF($G19-$V$8&gt;=0,TEXT($G19-$V$8,"[tt]:mm"),"-"&amp;TEXT(ABS($G19-$V$8),"[tt]:mm")),
IF($J19-$I19&gt;=0,TEXT($J19-$I19,"[tt]:mm"),"-"&amp;TEXT(ABS($J19-$I19),"[tt]:mm"))
),
IF(
$J19-$I19-$V$8&gt;=0,
TEXT($J19-$I19-$V$8,"[tt]:mm"),
"-"&amp;TEXT(ABS($J19-$I19-$V$8),"[tt]:mm")
)
)
)
)
))</f>
        <v>0:00</v>
      </c>
      <c r="L19" s="54" t="str">
        <f t="shared" si="3"/>
        <v>0</v>
      </c>
      <c r="M19" s="58" t="str">
        <f t="shared" si="4"/>
        <v>0:</v>
      </c>
      <c r="N19" s="51" t="str">
        <f t="shared" si="5"/>
        <v>0</v>
      </c>
      <c r="O19" s="57">
        <f t="shared" si="6"/>
        <v>0</v>
      </c>
      <c r="P19" s="6">
        <f t="shared" si="7"/>
        <v>0</v>
      </c>
      <c r="Q19" s="69"/>
    </row>
    <row r="20" spans="1:21" ht="15.75" x14ac:dyDescent="0.25">
      <c r="A20" s="12">
        <f t="shared" si="1"/>
        <v>50</v>
      </c>
      <c r="B20" s="13">
        <f t="shared" si="8"/>
        <v>45640</v>
      </c>
      <c r="C20" s="14" t="str" cm="1">
        <f t="array" ref="C20">_xlfn.SWITCH(WEEKDAY($D20, 2), 1, "Monday", 2, "Tuesday", 3, "Wednesday", 4, "Thursday", 5, "Friday", 6, "Saturday", 7, "Sunday")</f>
        <v>Saturday</v>
      </c>
      <c r="D20">
        <f t="shared" si="0"/>
        <v>7</v>
      </c>
      <c r="E20" s="42">
        <f t="shared" si="2"/>
        <v>45640</v>
      </c>
      <c r="F20" s="15" t="s">
        <v>21</v>
      </c>
      <c r="G20" s="17">
        <f>IF($F20="N",0,"Write in the next field")</f>
        <v>0</v>
      </c>
      <c r="H20" s="16">
        <v>0</v>
      </c>
      <c r="I20" s="16">
        <v>0</v>
      </c>
      <c r="J20" s="16">
        <v>0</v>
      </c>
      <c r="K20" s="63" t="str">
        <f>IF(F20="N","0:00",IF(
OR(
AND(Masterdata!$B$4&lt;&gt;DATE(1900,1,0),Masterdata!$B$4&lt;$E20),
AND(Masterdata!$B$3&lt;&gt;DATE(1900,1,0),Masterdata!$B$3&gt;$E20)
),
"0:00",
IF(
$H20&gt;TIME(0,0,0),
IF(
OR($C20="Saturday",$C20="Sunday"),
TEXT($H20,"[tt]:mm"),
IF($H20-$V$8&gt;=0,TEXT($H20-$V$8,"[tt]:mm"),"-"&amp;TEXT(ABS($H20-$V$8),"[tt]:mm"))
),
IF(
OR($C20="Saturday",$C20="Sunday"),
IF($J20-$I20&gt;=0,TEXT($J20-$I20,"[tt]:mm"),"-"&amp;TEXT(ABS($J20-$I20),"[tt]:mm")),
IFERROR(
IF($G20-$V$8=0,
IF($G20-$V$8&gt;=0,TEXT($G20-$V$8,"[tt]:mm"),"-"&amp;TEXT(ABS($G20-$V$8),"[tt]:mm")),
IF($J20-$I20&gt;=0,TEXT($J20-$I20,"[tt]:mm"),"-"&amp;TEXT(ABS($J20-$I20),"[tt]:mm"))
),
IF(
$J20-$I20-$V$8&gt;=0,
TEXT($J20-$I20-$V$8,"[tt]:mm"),
"-"&amp;TEXT(ABS($J20-$I20-$V$8),"[tt]:mm")
)
)
)
)
))</f>
        <v>0:00</v>
      </c>
      <c r="L20" s="54" t="str">
        <f t="shared" si="3"/>
        <v>0</v>
      </c>
      <c r="M20" s="58" t="str">
        <f t="shared" si="4"/>
        <v>0:</v>
      </c>
      <c r="N20" s="51" t="str">
        <f t="shared" si="5"/>
        <v>0</v>
      </c>
      <c r="O20" s="57">
        <f t="shared" si="6"/>
        <v>0</v>
      </c>
      <c r="P20" s="6">
        <f t="shared" si="7"/>
        <v>0</v>
      </c>
      <c r="Q20" s="69"/>
    </row>
    <row r="21" spans="1:21" ht="15.75" x14ac:dyDescent="0.25">
      <c r="A21" s="12">
        <f t="shared" si="1"/>
        <v>50</v>
      </c>
      <c r="B21" s="13">
        <f t="shared" si="8"/>
        <v>45641</v>
      </c>
      <c r="C21" s="14" t="str" cm="1">
        <f t="array" ref="C21">_xlfn.SWITCH(WEEKDAY($D21, 2), 1, "Monday", 2, "Tuesday", 3, "Wednesday", 4, "Thursday", 5, "Friday", 6, "Saturday", 7, "Sunday")</f>
        <v>Sunday</v>
      </c>
      <c r="D21">
        <f t="shared" si="0"/>
        <v>8</v>
      </c>
      <c r="E21" s="42">
        <f t="shared" si="2"/>
        <v>45641</v>
      </c>
      <c r="F21" s="15" t="s">
        <v>21</v>
      </c>
      <c r="G21" s="17">
        <f>IF($F21="N",0,"Write in the next field")</f>
        <v>0</v>
      </c>
      <c r="H21" s="16">
        <v>0</v>
      </c>
      <c r="I21" s="16">
        <v>0</v>
      </c>
      <c r="J21" s="16">
        <v>0</v>
      </c>
      <c r="K21" s="63" t="str">
        <f>IF(F21="N","0:00",IF(
OR(
AND(Masterdata!$B$4&lt;&gt;DATE(1900,1,0),Masterdata!$B$4&lt;$E21),
AND(Masterdata!$B$3&lt;&gt;DATE(1900,1,0),Masterdata!$B$3&gt;$E21)
),
"0:00",
IF(
$H21&gt;TIME(0,0,0),
IF(
OR($C21="Saturday",$C21="Sunday"),
TEXT($H21,"[tt]:mm"),
IF($H21-$V$8&gt;=0,TEXT($H21-$V$8,"[tt]:mm"),"-"&amp;TEXT(ABS($H21-$V$8),"[tt]:mm"))
),
IF(
OR($C21="Saturday",$C21="Sunday"),
IF($J21-$I21&gt;=0,TEXT($J21-$I21,"[tt]:mm"),"-"&amp;TEXT(ABS($J21-$I21),"[tt]:mm")),
IFERROR(
IF($G21-$V$8=0,
IF($G21-$V$8&gt;=0,TEXT($G21-$V$8,"[tt]:mm"),"-"&amp;TEXT(ABS($G21-$V$8),"[tt]:mm")),
IF($J21-$I21&gt;=0,TEXT($J21-$I21,"[tt]:mm"),"-"&amp;TEXT(ABS($J21-$I21),"[tt]:mm"))
),
IF(
$J21-$I21-$V$8&gt;=0,
TEXT($J21-$I21-$V$8,"[tt]:mm"),
"-"&amp;TEXT(ABS($J21-$I21-$V$8),"[tt]:mm")
)
)
)
)
))</f>
        <v>0:00</v>
      </c>
      <c r="L21" s="54" t="str">
        <f t="shared" si="3"/>
        <v>0</v>
      </c>
      <c r="M21" s="58" t="str">
        <f t="shared" si="4"/>
        <v>0:</v>
      </c>
      <c r="N21" s="51" t="str">
        <f t="shared" si="5"/>
        <v>0</v>
      </c>
      <c r="O21" s="57">
        <f t="shared" si="6"/>
        <v>0</v>
      </c>
      <c r="P21" s="6">
        <f t="shared" si="7"/>
        <v>0</v>
      </c>
      <c r="Q21" s="69"/>
    </row>
    <row r="22" spans="1:21" ht="15.75" x14ac:dyDescent="0.25">
      <c r="A22" s="12">
        <f t="shared" si="1"/>
        <v>51</v>
      </c>
      <c r="B22" s="13">
        <f t="shared" si="8"/>
        <v>45642</v>
      </c>
      <c r="C22" s="14" t="str" cm="1">
        <f t="array" ref="C22">_xlfn.SWITCH(WEEKDAY($D22, 2), 1, "Monday", 2, "Tuesday", 3, "Wednesday", 4, "Thursday", 5, "Friday", 6, "Saturday", 7, "Sunday")</f>
        <v>Monday</v>
      </c>
      <c r="D22">
        <f t="shared" si="0"/>
        <v>2</v>
      </c>
      <c r="E22" s="42">
        <f t="shared" si="2"/>
        <v>45642</v>
      </c>
      <c r="F22" s="15" t="s">
        <v>21</v>
      </c>
      <c r="G22" s="17">
        <f>IFERROR(
    IF($F22="N", $V$8,
        IF(OR(
            AND(Masterdata!$B$4&lt;&gt;DATE(1900,1,0), Masterdata!$B$4&lt;$E22),
            AND(Masterdata!$B$3&lt;&gt;DATE(1900,1,0), Masterdata!$B$3&gt;$E22)
        ),
        IF($H22&gt;=TIME(0,0,0), "Write in the next field", 0),
        IF($H22&gt;=TIME(0,0,0), "Write in the next field",
            IF($H22&gt;=0, 0,
                IF(OR($C22="Saturday", $C22="Sunday"), 0, 0)
            )
        )
    )),
"Write in the next field")</f>
        <v>0.30833333333333335</v>
      </c>
      <c r="H22" s="16">
        <v>0</v>
      </c>
      <c r="I22" s="16">
        <v>0</v>
      </c>
      <c r="J22" s="16">
        <v>0</v>
      </c>
      <c r="K22" s="63" t="str">
        <f>IF(F22="N","0:00",IF(
OR(
AND(Masterdata!$B$4&lt;&gt;DATE(1900,1,0),Masterdata!$B$4&lt;$E22),
AND(Masterdata!$B$3&lt;&gt;DATE(1900,1,0),Masterdata!$B$3&gt;$E22)
),
"0:00",
IF(
$H22&gt;TIME(0,0,0),
IF(
OR($C22="Saturday",$C22="Sunday"),
TEXT($H22,"[tt]:mm"),
IF($H22-$V$8&gt;=0,TEXT($H22-$V$8,"[tt]:mm"),"-"&amp;TEXT(ABS($H22-$V$8),"[tt]:mm"))
),
IF(
OR($C22="Saturday",$C22="Sunday"),
IF($J22-$I22&gt;=0,TEXT($J22-$I22,"[tt]:mm"),"-"&amp;TEXT(ABS($J22-$I22),"[tt]:mm")),
IFERROR(
IF($G22-$V$8=0,
IF($G22-$V$8&gt;=0,TEXT($G22-$V$8,"[tt]:mm"),"-"&amp;TEXT(ABS($G22-$V$8),"[tt]:mm")),
IF($J22-$I22&gt;=0,TEXT($J22-$I22,"[tt]:mm"),"-"&amp;TEXT(ABS($J22-$I22),"[tt]:mm"))
),
IF(
$J22-$I22-$V$8&gt;=0,
TEXT($J22-$I22-$V$8,"[tt]:mm"),
"-"&amp;TEXT(ABS($J22-$I22-$V$8),"[tt]:mm")
)
)
)
)
))</f>
        <v>0:00</v>
      </c>
      <c r="L22" s="54" t="str">
        <f t="shared" si="3"/>
        <v>0</v>
      </c>
      <c r="M22" s="58" t="str">
        <f t="shared" si="4"/>
        <v>0:</v>
      </c>
      <c r="N22" s="51" t="str">
        <f t="shared" si="5"/>
        <v>0</v>
      </c>
      <c r="O22" s="57">
        <f t="shared" si="6"/>
        <v>0</v>
      </c>
      <c r="P22" s="6">
        <f t="shared" si="7"/>
        <v>0</v>
      </c>
      <c r="Q22" s="69"/>
    </row>
    <row r="23" spans="1:21" ht="15.75" x14ac:dyDescent="0.25">
      <c r="A23" s="12">
        <f t="shared" si="1"/>
        <v>51</v>
      </c>
      <c r="B23" s="13">
        <f t="shared" si="8"/>
        <v>45643</v>
      </c>
      <c r="C23" s="14" t="str" cm="1">
        <f t="array" ref="C23">_xlfn.SWITCH(WEEKDAY($D23, 2), 1, "Monday", 2, "Tuesday", 3, "Wednesday", 4, "Thursday", 5, "Friday", 6, "Saturday", 7, "Sunday")</f>
        <v>Tuesday</v>
      </c>
      <c r="D23">
        <f t="shared" si="0"/>
        <v>3</v>
      </c>
      <c r="E23" s="42">
        <f t="shared" si="2"/>
        <v>45643</v>
      </c>
      <c r="F23" s="15" t="s">
        <v>21</v>
      </c>
      <c r="G23" s="17">
        <f>IFERROR(
    IF($F23="N", $V$8,
        IF(OR(
            AND(Masterdata!$B$4&lt;&gt;DATE(1900,1,0), Masterdata!$B$4&lt;$E23),
            AND(Masterdata!$B$3&lt;&gt;DATE(1900,1,0), Masterdata!$B$3&gt;$E23)
        ),
        IF($H23&gt;=TIME(0,0,0), "Write in the next field", 0),
        IF($H23&gt;=TIME(0,0,0), "Write in the next field",
            IF($H23&gt;=0, 0,
                IF(OR($C23="Saturday", $C23="Sunday"), 0, 0)
            )
        )
    )),
"Write in the next field")</f>
        <v>0.30833333333333335</v>
      </c>
      <c r="H23" s="16">
        <v>0</v>
      </c>
      <c r="I23" s="16">
        <v>0</v>
      </c>
      <c r="J23" s="16">
        <v>0</v>
      </c>
      <c r="K23" s="63" t="str">
        <f>IF(F23="N","0:00",IF(
OR(
AND(Masterdata!$B$4&lt;&gt;DATE(1900,1,0),Masterdata!$B$4&lt;$E23),
AND(Masterdata!$B$3&lt;&gt;DATE(1900,1,0),Masterdata!$B$3&gt;$E23)
),
"0:00",
IF(
$H23&gt;TIME(0,0,0),
IF(
OR($C23="Saturday",$C23="Sunday"),
TEXT($H23,"[tt]:mm"),
IF($H23-$V$8&gt;=0,TEXT($H23-$V$8,"[tt]:mm"),"-"&amp;TEXT(ABS($H23-$V$8),"[tt]:mm"))
),
IF(
OR($C23="Saturday",$C23="Sunday"),
IF($J23-$I23&gt;=0,TEXT($J23-$I23,"[tt]:mm"),"-"&amp;TEXT(ABS($J23-$I23),"[tt]:mm")),
IFERROR(
IF($G23-$V$8=0,
IF($G23-$V$8&gt;=0,TEXT($G23-$V$8,"[tt]:mm"),"-"&amp;TEXT(ABS($G23-$V$8),"[tt]:mm")),
IF($J23-$I23&gt;=0,TEXT($J23-$I23,"[tt]:mm"),"-"&amp;TEXT(ABS($J23-$I23),"[tt]:mm"))
),
IF(
$J23-$I23-$V$8&gt;=0,
TEXT($J23-$I23-$V$8,"[tt]:mm"),
"-"&amp;TEXT(ABS($J23-$I23-$V$8),"[tt]:mm")
)
)
)
)
))</f>
        <v>0:00</v>
      </c>
      <c r="L23" s="54" t="str">
        <f t="shared" si="3"/>
        <v>0</v>
      </c>
      <c r="M23" s="58" t="str">
        <f t="shared" si="4"/>
        <v>0:</v>
      </c>
      <c r="N23" s="51" t="str">
        <f t="shared" si="5"/>
        <v>0</v>
      </c>
      <c r="O23" s="57">
        <f t="shared" si="6"/>
        <v>0</v>
      </c>
      <c r="P23" s="6">
        <f t="shared" si="7"/>
        <v>0</v>
      </c>
      <c r="Q23" s="69"/>
    </row>
    <row r="24" spans="1:21" ht="15.75" x14ac:dyDescent="0.25">
      <c r="A24" s="12">
        <f t="shared" si="1"/>
        <v>51</v>
      </c>
      <c r="B24" s="13">
        <f t="shared" si="8"/>
        <v>45644</v>
      </c>
      <c r="C24" s="14" t="str" cm="1">
        <f t="array" ref="C24">_xlfn.SWITCH(WEEKDAY($D24, 2), 1, "Monday", 2, "Tuesday", 3, "Wednesday", 4, "Thursday", 5, "Friday", 6, "Saturday", 7, "Sunday")</f>
        <v>Wednesday</v>
      </c>
      <c r="D24">
        <f t="shared" si="0"/>
        <v>4</v>
      </c>
      <c r="E24" s="42">
        <f t="shared" si="2"/>
        <v>45644</v>
      </c>
      <c r="F24" s="15" t="s">
        <v>21</v>
      </c>
      <c r="G24" s="17">
        <f>IFERROR(
    IF($F24="N", $V$8,
        IF(OR(
            AND(Masterdata!$B$4&lt;&gt;DATE(1900,1,0), Masterdata!$B$4&lt;$E24),
            AND(Masterdata!$B$3&lt;&gt;DATE(1900,1,0), Masterdata!$B$3&gt;$E24)
        ),
        IF($H24&gt;=TIME(0,0,0), "Write in the next field", 0),
        IF($H24&gt;=TIME(0,0,0), "Write in the next field",
            IF($H24&gt;=0, 0,
                IF(OR($C24="Saturday", $C24="Sunday"), 0, 0)
            )
        )
    )),
"Write in the next field")</f>
        <v>0.30833333333333335</v>
      </c>
      <c r="H24" s="16">
        <v>0</v>
      </c>
      <c r="I24" s="16">
        <v>0</v>
      </c>
      <c r="J24" s="16">
        <v>0</v>
      </c>
      <c r="K24" s="63" t="str">
        <f>IF(F24="N","0:00",IF(
OR(
AND(Masterdata!$B$4&lt;&gt;DATE(1900,1,0),Masterdata!$B$4&lt;$E24),
AND(Masterdata!$B$3&lt;&gt;DATE(1900,1,0),Masterdata!$B$3&gt;$E24)
),
"0:00",
IF(
$H24&gt;TIME(0,0,0),
IF(
OR($C24="Saturday",$C24="Sunday"),
TEXT($H24,"[tt]:mm"),
IF($H24-$V$8&gt;=0,TEXT($H24-$V$8,"[tt]:mm"),"-"&amp;TEXT(ABS($H24-$V$8),"[tt]:mm"))
),
IF(
OR($C24="Saturday",$C24="Sunday"),
IF($J24-$I24&gt;=0,TEXT($J24-$I24,"[tt]:mm"),"-"&amp;TEXT(ABS($J24-$I24),"[tt]:mm")),
IFERROR(
IF($G24-$V$8=0,
IF($G24-$V$8&gt;=0,TEXT($G24-$V$8,"[tt]:mm"),"-"&amp;TEXT(ABS($G24-$V$8),"[tt]:mm")),
IF($J24-$I24&gt;=0,TEXT($J24-$I24,"[tt]:mm"),"-"&amp;TEXT(ABS($J24-$I24),"[tt]:mm"))
),
IF(
$J24-$I24-$V$8&gt;=0,
TEXT($J24-$I24-$V$8,"[tt]:mm"),
"-"&amp;TEXT(ABS($J24-$I24-$V$8),"[tt]:mm")
)
)
)
)
))</f>
        <v>0:00</v>
      </c>
      <c r="L24" s="54" t="str">
        <f t="shared" si="3"/>
        <v>0</v>
      </c>
      <c r="M24" s="58" t="str">
        <f t="shared" si="4"/>
        <v>0:</v>
      </c>
      <c r="N24" s="51" t="str">
        <f t="shared" si="5"/>
        <v>0</v>
      </c>
      <c r="O24" s="57">
        <f t="shared" si="6"/>
        <v>0</v>
      </c>
      <c r="P24" s="6">
        <f t="shared" si="7"/>
        <v>0</v>
      </c>
      <c r="Q24" s="69"/>
    </row>
    <row r="25" spans="1:21" ht="15.75" x14ac:dyDescent="0.25">
      <c r="A25" s="12">
        <f t="shared" si="1"/>
        <v>51</v>
      </c>
      <c r="B25" s="13">
        <f t="shared" si="8"/>
        <v>45645</v>
      </c>
      <c r="C25" s="14" t="str" cm="1">
        <f t="array" ref="C25">_xlfn.SWITCH(WEEKDAY($D25, 2), 1, "Monday", 2, "Tuesday", 3, "Wednesday", 4, "Thursday", 5, "Friday", 6, "Saturday", 7, "Sunday")</f>
        <v>Thursday</v>
      </c>
      <c r="D25">
        <f t="shared" si="0"/>
        <v>5</v>
      </c>
      <c r="E25" s="42">
        <f t="shared" si="2"/>
        <v>45645</v>
      </c>
      <c r="F25" s="15" t="s">
        <v>21</v>
      </c>
      <c r="G25" s="17">
        <f>IFERROR(
    IF($F25="N", $V$8,
        IF(OR(
            AND(Masterdata!$B$4&lt;&gt;DATE(1900,1,0), Masterdata!$B$4&lt;$E25),
            AND(Masterdata!$B$3&lt;&gt;DATE(1900,1,0), Masterdata!$B$3&gt;$E25)
        ),
        IF($H25&gt;=TIME(0,0,0), "Write in the next field", 0),
        IF($H25&gt;=TIME(0,0,0), "Write in the next field",
            IF($H25&gt;=0, 0,
                IF(OR($C25="Saturday", $C25="Sunday"), 0, 0)
            )
        )
    )),
"Write in the next field")</f>
        <v>0.30833333333333335</v>
      </c>
      <c r="H25" s="16">
        <v>0</v>
      </c>
      <c r="I25" s="16">
        <v>0</v>
      </c>
      <c r="J25" s="16">
        <v>0</v>
      </c>
      <c r="K25" s="63" t="str">
        <f>IF(F25="N","0:00",IF(
OR(
AND(Masterdata!$B$4&lt;&gt;DATE(1900,1,0),Masterdata!$B$4&lt;$E25),
AND(Masterdata!$B$3&lt;&gt;DATE(1900,1,0),Masterdata!$B$3&gt;$E25)
),
"0:00",
IF(
$H25&gt;TIME(0,0,0),
IF(
OR($C25="Saturday",$C25="Sunday"),
TEXT($H25,"[tt]:mm"),
IF($H25-$V$8&gt;=0,TEXT($H25-$V$8,"[tt]:mm"),"-"&amp;TEXT(ABS($H25-$V$8),"[tt]:mm"))
),
IF(
OR($C25="Saturday",$C25="Sunday"),
IF($J25-$I25&gt;=0,TEXT($J25-$I25,"[tt]:mm"),"-"&amp;TEXT(ABS($J25-$I25),"[tt]:mm")),
IFERROR(
IF($G25-$V$8=0,
IF($G25-$V$8&gt;=0,TEXT($G25-$V$8,"[tt]:mm"),"-"&amp;TEXT(ABS($G25-$V$8),"[tt]:mm")),
IF($J25-$I25&gt;=0,TEXT($J25-$I25,"[tt]:mm"),"-"&amp;TEXT(ABS($J25-$I25),"[tt]:mm"))
),
IF(
$J25-$I25-$V$8&gt;=0,
TEXT($J25-$I25-$V$8,"[tt]:mm"),
"-"&amp;TEXT(ABS($J25-$I25-$V$8),"[tt]:mm")
)
)
)
)
))</f>
        <v>0:00</v>
      </c>
      <c r="L25" s="54" t="str">
        <f t="shared" si="3"/>
        <v>0</v>
      </c>
      <c r="M25" s="58" t="str">
        <f t="shared" si="4"/>
        <v>0:</v>
      </c>
      <c r="N25" s="51" t="str">
        <f t="shared" si="5"/>
        <v>0</v>
      </c>
      <c r="O25" s="57">
        <f t="shared" si="6"/>
        <v>0</v>
      </c>
      <c r="P25" s="6">
        <f t="shared" si="7"/>
        <v>0</v>
      </c>
      <c r="Q25" s="69"/>
    </row>
    <row r="26" spans="1:21" ht="15.75" x14ac:dyDescent="0.25">
      <c r="A26" s="12">
        <f t="shared" si="1"/>
        <v>51</v>
      </c>
      <c r="B26" s="13">
        <f t="shared" si="8"/>
        <v>45646</v>
      </c>
      <c r="C26" s="14" t="str" cm="1">
        <f t="array" ref="C26">_xlfn.SWITCH(WEEKDAY($D26, 2), 1, "Monday", 2, "Tuesday", 3, "Wednesday", 4, "Thursday", 5, "Friday", 6, "Saturday", 7, "Sunday")</f>
        <v>Friday</v>
      </c>
      <c r="D26">
        <f t="shared" si="0"/>
        <v>6</v>
      </c>
      <c r="E26" s="42">
        <f t="shared" si="2"/>
        <v>45646</v>
      </c>
      <c r="F26" s="15" t="s">
        <v>21</v>
      </c>
      <c r="G26" s="17">
        <f>IFERROR(
    IF($F26="N", $V$8,
        IF(OR(
            AND(Masterdata!$B$4&lt;&gt;DATE(1900,1,0), Masterdata!$B$4&lt;$E26),
            AND(Masterdata!$B$3&lt;&gt;DATE(1900,1,0), Masterdata!$B$3&gt;$E26)
        ),
        IF($H26&gt;=TIME(0,0,0), "Write in the next field", 0),
        IF($H26&gt;=TIME(0,0,0), "Write in the next field",
            IF($H26&gt;=0, 0,
                IF(OR($C26="Saturday", $C26="Sunday"), 0, 0)
            )
        )
    )),
"Write in the next field")</f>
        <v>0.30833333333333335</v>
      </c>
      <c r="H26" s="16">
        <v>0</v>
      </c>
      <c r="I26" s="16">
        <v>0</v>
      </c>
      <c r="J26" s="16">
        <v>0</v>
      </c>
      <c r="K26" s="63" t="str">
        <f>IF(F26="N","0:00",IF(
OR(
AND(Masterdata!$B$4&lt;&gt;DATE(1900,1,0),Masterdata!$B$4&lt;$E26),
AND(Masterdata!$B$3&lt;&gt;DATE(1900,1,0),Masterdata!$B$3&gt;$E26)
),
"0:00",
IF(
$H26&gt;TIME(0,0,0),
IF(
OR($C26="Saturday",$C26="Sunday"),
TEXT($H26,"[tt]:mm"),
IF($H26-$V$8&gt;=0,TEXT($H26-$V$8,"[tt]:mm"),"-"&amp;TEXT(ABS($H26-$V$8),"[tt]:mm"))
),
IF(
OR($C26="Saturday",$C26="Sunday"),
IF($J26-$I26&gt;=0,TEXT($J26-$I26,"[tt]:mm"),"-"&amp;TEXT(ABS($J26-$I26),"[tt]:mm")),
IFERROR(
IF($G26-$V$8=0,
IF($G26-$V$8&gt;=0,TEXT($G26-$V$8,"[tt]:mm"),"-"&amp;TEXT(ABS($G26-$V$8),"[tt]:mm")),
IF($J26-$I26&gt;=0,TEXT($J26-$I26,"[tt]:mm"),"-"&amp;TEXT(ABS($J26-$I26),"[tt]:mm"))
),
IF(
$J26-$I26-$V$8&gt;=0,
TEXT($J26-$I26-$V$8,"[tt]:mm"),
"-"&amp;TEXT(ABS($J26-$I26-$V$8),"[tt]:mm")
)
)
)
)
))</f>
        <v>0:00</v>
      </c>
      <c r="L26" s="54" t="str">
        <f t="shared" si="3"/>
        <v>0</v>
      </c>
      <c r="M26" s="58" t="str">
        <f t="shared" si="4"/>
        <v>0:</v>
      </c>
      <c r="N26" s="51" t="str">
        <f t="shared" si="5"/>
        <v>0</v>
      </c>
      <c r="O26" s="57">
        <f t="shared" si="6"/>
        <v>0</v>
      </c>
      <c r="P26" s="6">
        <f t="shared" si="7"/>
        <v>0</v>
      </c>
      <c r="Q26" s="69"/>
    </row>
    <row r="27" spans="1:21" ht="15.75" x14ac:dyDescent="0.25">
      <c r="A27" s="12">
        <f t="shared" si="1"/>
        <v>51</v>
      </c>
      <c r="B27" s="13">
        <f t="shared" si="8"/>
        <v>45647</v>
      </c>
      <c r="C27" s="14" t="str" cm="1">
        <f t="array" ref="C27">_xlfn.SWITCH(WEEKDAY($D27, 2), 1, "Monday", 2, "Tuesday", 3, "Wednesday", 4, "Thursday", 5, "Friday", 6, "Saturday", 7, "Sunday")</f>
        <v>Saturday</v>
      </c>
      <c r="D27">
        <f t="shared" si="0"/>
        <v>7</v>
      </c>
      <c r="E27" s="42">
        <f t="shared" si="2"/>
        <v>45647</v>
      </c>
      <c r="F27" s="15" t="s">
        <v>21</v>
      </c>
      <c r="G27" s="17">
        <f>IF($F27="N",0,"Write in the next field")</f>
        <v>0</v>
      </c>
      <c r="H27" s="16">
        <v>0</v>
      </c>
      <c r="I27" s="16">
        <v>0</v>
      </c>
      <c r="J27" s="16">
        <v>0</v>
      </c>
      <c r="K27" s="63" t="str">
        <f>IF(F27="N","0:00",IF(
OR(
AND(Masterdata!$B$4&lt;&gt;DATE(1900,1,0),Masterdata!$B$4&lt;$E27),
AND(Masterdata!$B$3&lt;&gt;DATE(1900,1,0),Masterdata!$B$3&gt;$E27)
),
"0:00",
IF(
$H27&gt;TIME(0,0,0),
IF(
OR($C27="Saturday",$C27="Sunday"),
TEXT($H27,"[tt]:mm"),
IF($H27-$V$8&gt;=0,TEXT($H27-$V$8,"[tt]:mm"),"-"&amp;TEXT(ABS($H27-$V$8),"[tt]:mm"))
),
IF(
OR($C27="Saturday",$C27="Sunday"),
IF($J27-$I27&gt;=0,TEXT($J27-$I27,"[tt]:mm"),"-"&amp;TEXT(ABS($J27-$I27),"[tt]:mm")),
IFERROR(
IF($G27-$V$8=0,
IF($G27-$V$8&gt;=0,TEXT($G27-$V$8,"[tt]:mm"),"-"&amp;TEXT(ABS($G27-$V$8),"[tt]:mm")),
IF($J27-$I27&gt;=0,TEXT($J27-$I27,"[tt]:mm"),"-"&amp;TEXT(ABS($J27-$I27),"[tt]:mm"))
),
IF(
$J27-$I27-$V$8&gt;=0,
TEXT($J27-$I27-$V$8,"[tt]:mm"),
"-"&amp;TEXT(ABS($J27-$I27-$V$8),"[tt]:mm")
)
)
)
)
))</f>
        <v>0:00</v>
      </c>
      <c r="L27" s="54" t="str">
        <f t="shared" si="3"/>
        <v>0</v>
      </c>
      <c r="M27" s="58" t="str">
        <f t="shared" si="4"/>
        <v>0:</v>
      </c>
      <c r="N27" s="51" t="str">
        <f t="shared" si="5"/>
        <v>0</v>
      </c>
      <c r="O27" s="57">
        <f t="shared" si="6"/>
        <v>0</v>
      </c>
      <c r="P27" s="6">
        <f t="shared" si="7"/>
        <v>0</v>
      </c>
      <c r="Q27" s="69"/>
    </row>
    <row r="28" spans="1:21" ht="15.75" x14ac:dyDescent="0.25">
      <c r="A28" s="12">
        <f t="shared" si="1"/>
        <v>51</v>
      </c>
      <c r="B28" s="13">
        <f t="shared" si="8"/>
        <v>45648</v>
      </c>
      <c r="C28" s="14" t="str" cm="1">
        <f t="array" ref="C28">_xlfn.SWITCH(WEEKDAY($D28, 2), 1, "Monday", 2, "Tuesday", 3, "Wednesday", 4, "Thursday", 5, "Friday", 6, "Saturday", 7, "Sunday")</f>
        <v>Sunday</v>
      </c>
      <c r="D28">
        <f t="shared" si="0"/>
        <v>8</v>
      </c>
      <c r="E28" s="42">
        <f t="shared" si="2"/>
        <v>45648</v>
      </c>
      <c r="F28" s="15" t="s">
        <v>21</v>
      </c>
      <c r="G28" s="17">
        <f>IF($F28="N",0,"Write in the next field")</f>
        <v>0</v>
      </c>
      <c r="H28" s="16">
        <v>0</v>
      </c>
      <c r="I28" s="16">
        <v>0</v>
      </c>
      <c r="J28" s="16">
        <v>0</v>
      </c>
      <c r="K28" s="63" t="str">
        <f>IF(F28="N","0:00",IF(
OR(
AND(Masterdata!$B$4&lt;&gt;DATE(1900,1,0),Masterdata!$B$4&lt;$E28),
AND(Masterdata!$B$3&lt;&gt;DATE(1900,1,0),Masterdata!$B$3&gt;$E28)
),
"0:00",
IF(
$H28&gt;TIME(0,0,0),
IF(
OR($C28="Saturday",$C28="Sunday"),
TEXT($H28,"[tt]:mm"),
IF($H28-$V$8&gt;=0,TEXT($H28-$V$8,"[tt]:mm"),"-"&amp;TEXT(ABS($H28-$V$8),"[tt]:mm"))
),
IF(
OR($C28="Saturday",$C28="Sunday"),
IF($J28-$I28&gt;=0,TEXT($J28-$I28,"[tt]:mm"),"-"&amp;TEXT(ABS($J28-$I28),"[tt]:mm")),
IFERROR(
IF($G28-$V$8=0,
IF($G28-$V$8&gt;=0,TEXT($G28-$V$8,"[tt]:mm"),"-"&amp;TEXT(ABS($G28-$V$8),"[tt]:mm")),
IF($J28-$I28&gt;=0,TEXT($J28-$I28,"[tt]:mm"),"-"&amp;TEXT(ABS($J28-$I28),"[tt]:mm"))
),
IF(
$J28-$I28-$V$8&gt;=0,
TEXT($J28-$I28-$V$8,"[tt]:mm"),
"-"&amp;TEXT(ABS($J28-$I28-$V$8),"[tt]:mm")
)
)
)
)
))</f>
        <v>0:00</v>
      </c>
      <c r="L28" s="54" t="str">
        <f t="shared" si="3"/>
        <v>0</v>
      </c>
      <c r="M28" s="58" t="str">
        <f t="shared" si="4"/>
        <v>0:</v>
      </c>
      <c r="N28" s="51" t="str">
        <f t="shared" si="5"/>
        <v>0</v>
      </c>
      <c r="O28" s="57">
        <f t="shared" si="6"/>
        <v>0</v>
      </c>
      <c r="P28" s="6">
        <f t="shared" si="7"/>
        <v>0</v>
      </c>
      <c r="Q28" s="69"/>
    </row>
    <row r="29" spans="1:21" ht="15.75" x14ac:dyDescent="0.25">
      <c r="A29" s="12">
        <f t="shared" si="1"/>
        <v>52</v>
      </c>
      <c r="B29" s="13">
        <f t="shared" si="8"/>
        <v>45649</v>
      </c>
      <c r="C29" s="14" t="str" cm="1">
        <f t="array" ref="C29">_xlfn.SWITCH(WEEKDAY($D29, 2), 1, "Monday", 2, "Tuesday", 3, "Wednesday", 4, "Thursday", 5, "Friday", 6, "Saturday", 7, "Sunday")</f>
        <v>Monday</v>
      </c>
      <c r="D29">
        <f t="shared" si="0"/>
        <v>2</v>
      </c>
      <c r="E29" s="42">
        <f t="shared" si="2"/>
        <v>45649</v>
      </c>
      <c r="F29" s="15" t="s">
        <v>21</v>
      </c>
      <c r="G29" s="17">
        <f>IFERROR(
    IF($F29="N", $V$8,
        IF(OR(
            AND(Masterdata!$B$4&lt;&gt;DATE(1900,1,0), Masterdata!$B$4&lt;$E29),
            AND(Masterdata!$B$3&lt;&gt;DATE(1900,1,0), Masterdata!$B$3&gt;$E29)
        ),
        IF($H29&gt;=TIME(0,0,0), "Write in the next field", 0),
        IF($H29&gt;=TIME(0,0,0), "Write in the next field",
            IF($H29&gt;=0, 0,
                IF(OR($C29="Saturday", $C29="Sunday"), 0, 0)
            )
        )
    )),
"Write in the next field")</f>
        <v>0.30833333333333335</v>
      </c>
      <c r="H29" s="16">
        <v>0</v>
      </c>
      <c r="I29" s="16">
        <v>0</v>
      </c>
      <c r="J29" s="16">
        <v>0</v>
      </c>
      <c r="K29" s="63" t="str">
        <f>IF(F29="N","0:00",IF(
OR(
AND(Masterdata!$B$4&lt;&gt;DATE(1900,1,0),Masterdata!$B$4&lt;$E29),
AND(Masterdata!$B$3&lt;&gt;DATE(1900,1,0),Masterdata!$B$3&gt;$E29)
),
"0:00",
IF(
$H29&gt;TIME(0,0,0),
IF(
OR($C29="Saturday",$C29="Sunday"),
TEXT($H29,"[tt]:mm"),
IF($H29-$V$8&gt;=0,TEXT($H29-$V$8,"[tt]:mm"),"-"&amp;TEXT(ABS($H29-$V$8),"[tt]:mm"))
),
IF(
OR($C29="Saturday",$C29="Sunday"),
IF($J29-$I29&gt;=0,TEXT($J29-$I29,"[tt]:mm"),"-"&amp;TEXT(ABS($J29-$I29),"[tt]:mm")),
IFERROR(
IF($G29-$V$8=0,
IF($G29-$V$8&gt;=0,TEXT($G29-$V$8,"[tt]:mm"),"-"&amp;TEXT(ABS($G29-$V$8),"[tt]:mm")),
IF($J29-$I29&gt;=0,TEXT($J29-$I29,"[tt]:mm"),"-"&amp;TEXT(ABS($J29-$I29),"[tt]:mm"))
),
IF(
$J29-$I29-$V$8&gt;=0,
TEXT($J29-$I29-$V$8,"[tt]:mm"),
"-"&amp;TEXT(ABS($J29-$I29-$V$8),"[tt]:mm")
)
)
)
)
))</f>
        <v>0:00</v>
      </c>
      <c r="L29" s="54" t="str">
        <f t="shared" si="3"/>
        <v>0</v>
      </c>
      <c r="M29" s="58" t="str">
        <f t="shared" si="4"/>
        <v>0:</v>
      </c>
      <c r="N29" s="51" t="str">
        <f t="shared" si="5"/>
        <v>0</v>
      </c>
      <c r="O29" s="57">
        <f t="shared" si="6"/>
        <v>0</v>
      </c>
      <c r="P29" s="6">
        <f t="shared" si="7"/>
        <v>0</v>
      </c>
      <c r="Q29" s="69"/>
    </row>
    <row r="30" spans="1:21" ht="15.75" x14ac:dyDescent="0.25">
      <c r="A30" s="12">
        <f t="shared" si="1"/>
        <v>52</v>
      </c>
      <c r="B30" s="13">
        <f t="shared" si="8"/>
        <v>45650</v>
      </c>
      <c r="C30" s="14" t="str" cm="1">
        <f t="array" ref="C30">_xlfn.SWITCH(WEEKDAY($D30, 2), 1, "Monday", 2, "Tuesday", 3, "Wednesday", 4, "Thursday", 5, "Friday", 6, "Saturday", 7, "Sunday")</f>
        <v>Tuesday</v>
      </c>
      <c r="D30">
        <f t="shared" si="0"/>
        <v>3</v>
      </c>
      <c r="E30" s="42">
        <f t="shared" si="2"/>
        <v>45650</v>
      </c>
      <c r="F30" s="15" t="s">
        <v>21</v>
      </c>
      <c r="G30" s="17">
        <f>IFERROR(
    IF($F30="N", $V$8,
        IF(OR(
            AND(Masterdata!$B$4&lt;&gt;DATE(1900,1,0), Masterdata!$B$4&lt;$E30),
            AND(Masterdata!$B$3&lt;&gt;DATE(1900,1,0), Masterdata!$B$3&gt;$E30)
        ),
        IF($H30&gt;=TIME(0,0,0), "Write in the next field", 0),
        IF($H30&gt;=TIME(0,0,0), "Write in the next field",
            IF($H30&gt;=0, 0,
                IF(OR($C30="Saturday", $C30="Sunday"), 0, 0)
            )
        )
    )),
"Write in the next field")</f>
        <v>0.30833333333333335</v>
      </c>
      <c r="H30" s="16">
        <v>0</v>
      </c>
      <c r="I30" s="16">
        <v>0</v>
      </c>
      <c r="J30" s="16">
        <v>0</v>
      </c>
      <c r="K30" s="63" t="str">
        <f>IF(F30="N","0:00",IF(
OR(
AND(Masterdata!$B$4&lt;&gt;DATE(1900,1,0),Masterdata!$B$4&lt;$E30),
AND(Masterdata!$B$3&lt;&gt;DATE(1900,1,0),Masterdata!$B$3&gt;$E30)
),
"0:00",
IF(
$H30&gt;TIME(0,0,0),
IF(
OR($C30="Saturday",$C30="Sunday"),
TEXT($H30,"[tt]:mm"),
IF($H30-$V$8&gt;=0,TEXT($H30-$V$8,"[tt]:mm"),"-"&amp;TEXT(ABS($H30-$V$8),"[tt]:mm"))
),
IF(
OR($C30="Saturday",$C30="Sunday"),
IF($J30-$I30&gt;=0,TEXT($J30-$I30,"[tt]:mm"),"-"&amp;TEXT(ABS($J30-$I30),"[tt]:mm")),
IFERROR(
IF($G30-$V$8=0,
IF($G30-$V$8&gt;=0,TEXT($G30-$V$8,"[tt]:mm"),"-"&amp;TEXT(ABS($G30-$V$8),"[tt]:mm")),
IF($J30-$I30&gt;=0,TEXT($J30-$I30,"[tt]:mm"),"-"&amp;TEXT(ABS($J30-$I30),"[tt]:mm"))
),
IF(
$J30-$I30-$V$8&gt;=0,
TEXT($J30-$I30-$V$8,"[tt]:mm"),
"-"&amp;TEXT(ABS($J30-$I30-$V$8),"[tt]:mm")
)
)
)
)
))</f>
        <v>0:00</v>
      </c>
      <c r="L30" s="54" t="str">
        <f t="shared" si="3"/>
        <v>0</v>
      </c>
      <c r="M30" s="58" t="str">
        <f t="shared" si="4"/>
        <v>0:</v>
      </c>
      <c r="N30" s="51" t="str">
        <f t="shared" si="5"/>
        <v>0</v>
      </c>
      <c r="O30" s="57">
        <f t="shared" si="6"/>
        <v>0</v>
      </c>
      <c r="P30" s="6">
        <f t="shared" si="7"/>
        <v>0</v>
      </c>
      <c r="Q30" s="69"/>
    </row>
    <row r="31" spans="1:21" ht="15.75" x14ac:dyDescent="0.25">
      <c r="A31" s="12">
        <f t="shared" si="1"/>
        <v>52</v>
      </c>
      <c r="B31" s="13">
        <f t="shared" si="8"/>
        <v>45651</v>
      </c>
      <c r="C31" s="14" t="str" cm="1">
        <f t="array" ref="C31">_xlfn.SWITCH(WEEKDAY($D31, 2), 1, "Monday", 2, "Tuesday", 3, "Wednesday", 4, "Thursday", 5, "Friday", 6, "Saturday", 7, "Sunday")</f>
        <v>Wednesday</v>
      </c>
      <c r="D31">
        <f t="shared" si="0"/>
        <v>4</v>
      </c>
      <c r="E31" s="42">
        <f t="shared" si="2"/>
        <v>45651</v>
      </c>
      <c r="F31" s="15" t="s">
        <v>21</v>
      </c>
      <c r="G31" s="17">
        <f>IFERROR(
    IF($F31="N", $V$8,
        IF(OR(
            AND(Masterdata!$B$4&lt;&gt;DATE(1900,1,0), Masterdata!$B$4&lt;$E31),
            AND(Masterdata!$B$3&lt;&gt;DATE(1900,1,0), Masterdata!$B$3&gt;$E31)
        ),
        IF($H31&gt;=TIME(0,0,0), "Write in the next field", 0),
        IF($H31&gt;=TIME(0,0,0), "Write in the next field",
            IF($H31&gt;=0, 0,
                IF(OR($C31="Saturday", $C31="Sunday"), 0, 0)
            )
        )
    )),
"Write in the next field")</f>
        <v>0.30833333333333335</v>
      </c>
      <c r="H31" s="16">
        <v>0</v>
      </c>
      <c r="I31" s="16">
        <v>0</v>
      </c>
      <c r="J31" s="16">
        <v>0</v>
      </c>
      <c r="K31" s="63" t="str">
        <f>IF(F31="N","0:00",IF(
OR(
AND(Masterdata!$B$4&lt;&gt;DATE(1900,1,0),Masterdata!$B$4&lt;$E31),
AND(Masterdata!$B$3&lt;&gt;DATE(1900,1,0),Masterdata!$B$3&gt;$E31)
),
"0:00",
IF(
$H31&gt;TIME(0,0,0),
IF(
OR($C31="Saturday",$C31="Sunday"),
TEXT($H31,"[tt]:mm"),
IF($H31-$V$8&gt;=0,TEXT($H31-$V$8,"[tt]:mm"),"-"&amp;TEXT(ABS($H31-$V$8),"[tt]:mm"))
),
IF(
OR($C31="Saturday",$C31="Sunday"),
IF($J31-$I31&gt;=0,TEXT($J31-$I31,"[tt]:mm"),"-"&amp;TEXT(ABS($J31-$I31),"[tt]:mm")),
IFERROR(
IF($G31-$V$8=0,
IF($G31-$V$8&gt;=0,TEXT($G31-$V$8,"[tt]:mm"),"-"&amp;TEXT(ABS($G31-$V$8),"[tt]:mm")),
IF($J31-$I31&gt;=0,TEXT($J31-$I31,"[tt]:mm"),"-"&amp;TEXT(ABS($J31-$I31),"[tt]:mm"))
),
IF(
$J31-$I31-$V$8&gt;=0,
TEXT($J31-$I31-$V$8,"[tt]:mm"),
"-"&amp;TEXT(ABS($J31-$I31-$V$8),"[tt]:mm")
)
)
)
)
))</f>
        <v>0:00</v>
      </c>
      <c r="L31" s="54" t="str">
        <f t="shared" si="3"/>
        <v>0</v>
      </c>
      <c r="M31" s="58" t="str">
        <f t="shared" si="4"/>
        <v>0:</v>
      </c>
      <c r="N31" s="51" t="str">
        <f t="shared" si="5"/>
        <v>0</v>
      </c>
      <c r="O31" s="57">
        <f t="shared" si="6"/>
        <v>0</v>
      </c>
      <c r="P31" s="6">
        <f t="shared" si="7"/>
        <v>0</v>
      </c>
      <c r="Q31" s="69"/>
    </row>
    <row r="32" spans="1:21" ht="15.75" x14ac:dyDescent="0.25">
      <c r="A32" s="12">
        <f t="shared" si="1"/>
        <v>52</v>
      </c>
      <c r="B32" s="13">
        <f t="shared" si="8"/>
        <v>45652</v>
      </c>
      <c r="C32" s="14" t="str" cm="1">
        <f t="array" ref="C32">_xlfn.SWITCH(WEEKDAY($D32, 2), 1, "Monday", 2, "Tuesday", 3, "Wednesday", 4, "Thursday", 5, "Friday", 6, "Saturday", 7, "Sunday")</f>
        <v>Thursday</v>
      </c>
      <c r="D32">
        <f t="shared" si="0"/>
        <v>5</v>
      </c>
      <c r="E32" s="42">
        <f t="shared" si="2"/>
        <v>45652</v>
      </c>
      <c r="F32" s="15" t="s">
        <v>21</v>
      </c>
      <c r="G32" s="17">
        <f>IFERROR(
    IF($F32="N", $V$8,
        IF(OR(
            AND(Masterdata!$B$4&lt;&gt;DATE(1900,1,0), Masterdata!$B$4&lt;$E32),
            AND(Masterdata!$B$3&lt;&gt;DATE(1900,1,0), Masterdata!$B$3&gt;$E32)
        ),
        IF($H32&gt;=TIME(0,0,0), "Write in the next field", 0),
        IF($H32&gt;=TIME(0,0,0), "Write in the next field",
            IF($H32&gt;=0, 0,
                IF(OR($C32="Saturday", $C32="Sunday"), 0, 0)
            )
        )
    )),
"Write in the next field")</f>
        <v>0.30833333333333335</v>
      </c>
      <c r="H32" s="16">
        <v>0</v>
      </c>
      <c r="I32" s="16">
        <v>0</v>
      </c>
      <c r="J32" s="16">
        <v>0</v>
      </c>
      <c r="K32" s="63" t="str">
        <f>IF(F32="N","0:00",IF(
OR(
AND(Masterdata!$B$4&lt;&gt;DATE(1900,1,0),Masterdata!$B$4&lt;$E32),
AND(Masterdata!$B$3&lt;&gt;DATE(1900,1,0),Masterdata!$B$3&gt;$E32)
),
"0:00",
IF(
$H32&gt;TIME(0,0,0),
IF(
OR($C32="Saturday",$C32="Sunday"),
TEXT($H32,"[tt]:mm"),
IF($H32-$V$8&gt;=0,TEXT($H32-$V$8,"[tt]:mm"),"-"&amp;TEXT(ABS($H32-$V$8),"[tt]:mm"))
),
IF(
OR($C32="Saturday",$C32="Sunday"),
IF($J32-$I32&gt;=0,TEXT($J32-$I32,"[tt]:mm"),"-"&amp;TEXT(ABS($J32-$I32),"[tt]:mm")),
IFERROR(
IF($G32-$V$8=0,
IF($G32-$V$8&gt;=0,TEXT($G32-$V$8,"[tt]:mm"),"-"&amp;TEXT(ABS($G32-$V$8),"[tt]:mm")),
IF($J32-$I32&gt;=0,TEXT($J32-$I32,"[tt]:mm"),"-"&amp;TEXT(ABS($J32-$I32),"[tt]:mm"))
),
IF(
$J32-$I32-$V$8&gt;=0,
TEXT($J32-$I32-$V$8,"[tt]:mm"),
"-"&amp;TEXT(ABS($J32-$I32-$V$8),"[tt]:mm")
)
)
)
)
))</f>
        <v>0:00</v>
      </c>
      <c r="L32" s="54" t="str">
        <f t="shared" si="3"/>
        <v>0</v>
      </c>
      <c r="M32" s="58" t="str">
        <f t="shared" si="4"/>
        <v>0:</v>
      </c>
      <c r="N32" s="51" t="str">
        <f t="shared" si="5"/>
        <v>0</v>
      </c>
      <c r="O32" s="57">
        <f t="shared" si="6"/>
        <v>0</v>
      </c>
      <c r="P32" s="6">
        <f t="shared" si="7"/>
        <v>0</v>
      </c>
      <c r="Q32" s="69"/>
    </row>
    <row r="33" spans="1:17" ht="15.75" x14ac:dyDescent="0.25">
      <c r="A33" s="12">
        <f t="shared" si="1"/>
        <v>52</v>
      </c>
      <c r="B33" s="13">
        <f t="shared" si="8"/>
        <v>45653</v>
      </c>
      <c r="C33" s="14" t="str" cm="1">
        <f t="array" ref="C33">_xlfn.SWITCH(WEEKDAY($D33, 2), 1, "Monday", 2, "Tuesday", 3, "Wednesday", 4, "Thursday", 5, "Friday", 6, "Saturday", 7, "Sunday")</f>
        <v>Friday</v>
      </c>
      <c r="D33">
        <f t="shared" si="0"/>
        <v>6</v>
      </c>
      <c r="E33" s="42">
        <f t="shared" si="2"/>
        <v>45653</v>
      </c>
      <c r="F33" s="15" t="s">
        <v>21</v>
      </c>
      <c r="G33" s="17">
        <f>IFERROR(
    IF($F33="N", $V$8,
        IF(OR(
            AND(Masterdata!$B$4&lt;&gt;DATE(1900,1,0), Masterdata!$B$4&lt;$E33),
            AND(Masterdata!$B$3&lt;&gt;DATE(1900,1,0), Masterdata!$B$3&gt;$E33)
        ),
        IF($H33&gt;=TIME(0,0,0), "Write in the next field", 0),
        IF($H33&gt;=TIME(0,0,0), "Write in the next field",
            IF($H33&gt;=0, 0,
                IF(OR($C33="Saturday", $C33="Sunday"), 0, 0)
            )
        )
    )),
"Write in the next field")</f>
        <v>0.30833333333333335</v>
      </c>
      <c r="H33" s="16">
        <v>0</v>
      </c>
      <c r="I33" s="16">
        <v>0</v>
      </c>
      <c r="J33" s="16">
        <v>0</v>
      </c>
      <c r="K33" s="63" t="str">
        <f>IF(F33="N","0:00",IF(
OR(
AND(Masterdata!$B$4&lt;&gt;DATE(1900,1,0),Masterdata!$B$4&lt;$E33),
AND(Masterdata!$B$3&lt;&gt;DATE(1900,1,0),Masterdata!$B$3&gt;$E33)
),
"0:00",
IF(
$H33&gt;TIME(0,0,0),
IF(
OR($C33="Saturday",$C33="Sunday"),
TEXT($H33,"[tt]:mm"),
IF($H33-$V$8&gt;=0,TEXT($H33-$V$8,"[tt]:mm"),"-"&amp;TEXT(ABS($H33-$V$8),"[tt]:mm"))
),
IF(
OR($C33="Saturday",$C33="Sunday"),
IF($J33-$I33&gt;=0,TEXT($J33-$I33,"[tt]:mm"),"-"&amp;TEXT(ABS($J33-$I33),"[tt]:mm")),
IFERROR(
IF($G33-$V$8=0,
IF($G33-$V$8&gt;=0,TEXT($G33-$V$8,"[tt]:mm"),"-"&amp;TEXT(ABS($G33-$V$8),"[tt]:mm")),
IF($J33-$I33&gt;=0,TEXT($J33-$I33,"[tt]:mm"),"-"&amp;TEXT(ABS($J33-$I33),"[tt]:mm"))
),
IF(
$J33-$I33-$V$8&gt;=0,
TEXT($J33-$I33-$V$8,"[tt]:mm"),
"-"&amp;TEXT(ABS($J33-$I33-$V$8),"[tt]:mm")
)
)
)
)
))</f>
        <v>0:00</v>
      </c>
      <c r="L33" s="54" t="str">
        <f t="shared" si="3"/>
        <v>0</v>
      </c>
      <c r="M33" s="58" t="str">
        <f t="shared" si="4"/>
        <v>0:</v>
      </c>
      <c r="N33" s="51" t="str">
        <f t="shared" si="5"/>
        <v>0</v>
      </c>
      <c r="O33" s="57">
        <f t="shared" si="6"/>
        <v>0</v>
      </c>
      <c r="P33" s="6">
        <f t="shared" si="7"/>
        <v>0</v>
      </c>
      <c r="Q33" s="69"/>
    </row>
    <row r="34" spans="1:17" ht="15.75" x14ac:dyDescent="0.25">
      <c r="A34" s="12">
        <f t="shared" si="1"/>
        <v>52</v>
      </c>
      <c r="B34" s="13">
        <f t="shared" si="8"/>
        <v>45654</v>
      </c>
      <c r="C34" s="14" t="str" cm="1">
        <f t="array" ref="C34">_xlfn.SWITCH(WEEKDAY($D34, 2), 1, "Monday", 2, "Tuesday", 3, "Wednesday", 4, "Thursday", 5, "Friday", 6, "Saturday", 7, "Sunday")</f>
        <v>Saturday</v>
      </c>
      <c r="D34">
        <f t="shared" si="0"/>
        <v>7</v>
      </c>
      <c r="E34" s="42">
        <f t="shared" si="2"/>
        <v>45654</v>
      </c>
      <c r="F34" s="15" t="s">
        <v>21</v>
      </c>
      <c r="G34" s="17">
        <f>IF($F34="N",0,"Write in the next field")</f>
        <v>0</v>
      </c>
      <c r="H34" s="16">
        <v>0</v>
      </c>
      <c r="I34" s="16">
        <v>0</v>
      </c>
      <c r="J34" s="16">
        <v>0</v>
      </c>
      <c r="K34" s="63" t="str">
        <f>IF(F34="N","0:00",IF(
OR(
AND(Masterdata!$B$4&lt;&gt;DATE(1900,1,0),Masterdata!$B$4&lt;$E34),
AND(Masterdata!$B$3&lt;&gt;DATE(1900,1,0),Masterdata!$B$3&gt;$E34)
),
"0:00",
IF(
$H34&gt;TIME(0,0,0),
IF(
OR($C34="Saturday",$C34="Sunday"),
TEXT($H34,"[tt]:mm"),
IF($H34-$V$8&gt;=0,TEXT($H34-$V$8,"[tt]:mm"),"-"&amp;TEXT(ABS($H34-$V$8),"[tt]:mm"))
),
IF(
OR($C34="Saturday",$C34="Sunday"),
IF($J34-$I34&gt;=0,TEXT($J34-$I34,"[tt]:mm"),"-"&amp;TEXT(ABS($J34-$I34),"[tt]:mm")),
IFERROR(
IF($G34-$V$8=0,
IF($G34-$V$8&gt;=0,TEXT($G34-$V$8,"[tt]:mm"),"-"&amp;TEXT(ABS($G34-$V$8),"[tt]:mm")),
IF($J34-$I34&gt;=0,TEXT($J34-$I34,"[tt]:mm"),"-"&amp;TEXT(ABS($J34-$I34),"[tt]:mm"))
),
IF(
$J34-$I34-$V$8&gt;=0,
TEXT($J34-$I34-$V$8,"[tt]:mm"),
"-"&amp;TEXT(ABS($J34-$I34-$V$8),"[tt]:mm")
)
)
)
)
))</f>
        <v>0:00</v>
      </c>
      <c r="L34" s="54" t="str">
        <f t="shared" si="3"/>
        <v>0</v>
      </c>
      <c r="M34" s="58" t="str">
        <f t="shared" si="4"/>
        <v>0:</v>
      </c>
      <c r="N34" s="51" t="str">
        <f t="shared" si="5"/>
        <v>0</v>
      </c>
      <c r="O34" s="57">
        <f t="shared" si="6"/>
        <v>0</v>
      </c>
      <c r="P34" s="6">
        <f t="shared" si="7"/>
        <v>0</v>
      </c>
      <c r="Q34" s="69"/>
    </row>
    <row r="35" spans="1:17" ht="15.75" x14ac:dyDescent="0.25">
      <c r="A35" s="12">
        <f t="shared" si="1"/>
        <v>52</v>
      </c>
      <c r="B35" s="13">
        <f t="shared" si="8"/>
        <v>45655</v>
      </c>
      <c r="C35" s="14" t="str" cm="1">
        <f t="array" ref="C35">_xlfn.SWITCH(WEEKDAY($D35, 2), 1, "Monday", 2, "Tuesday", 3, "Wednesday", 4, "Thursday", 5, "Friday", 6, "Saturday", 7, "Sunday")</f>
        <v>Sunday</v>
      </c>
      <c r="D35">
        <f t="shared" si="0"/>
        <v>8</v>
      </c>
      <c r="E35" s="42">
        <f t="shared" si="2"/>
        <v>45655</v>
      </c>
      <c r="F35" s="15" t="s">
        <v>21</v>
      </c>
      <c r="G35" s="17">
        <f>IF($F35="N",0,"Write in the next field")</f>
        <v>0</v>
      </c>
      <c r="H35" s="16">
        <v>0</v>
      </c>
      <c r="I35" s="16">
        <v>0</v>
      </c>
      <c r="J35" s="16">
        <v>0</v>
      </c>
      <c r="K35" s="63" t="str">
        <f>IF(F35="N","0:00",IF(
OR(
AND(Masterdata!$B$4&lt;&gt;DATE(1900,1,0),Masterdata!$B$4&lt;$E35),
AND(Masterdata!$B$3&lt;&gt;DATE(1900,1,0),Masterdata!$B$3&gt;$E35)
),
"0:00",
IF(
$H35&gt;TIME(0,0,0),
IF(
OR($C35="Saturday",$C35="Sunday"),
TEXT($H35,"[tt]:mm"),
IF($H35-$V$8&gt;=0,TEXT($H35-$V$8,"[tt]:mm"),"-"&amp;TEXT(ABS($H35-$V$8),"[tt]:mm"))
),
IF(
OR($C35="Saturday",$C35="Sunday"),
IF($J35-$I35&gt;=0,TEXT($J35-$I35,"[tt]:mm"),"-"&amp;TEXT(ABS($J35-$I35),"[tt]:mm")),
IFERROR(
IF($G35-$V$8=0,
IF($G35-$V$8&gt;=0,TEXT($G35-$V$8,"[tt]:mm"),"-"&amp;TEXT(ABS($G35-$V$8),"[tt]:mm")),
IF($J35-$I35&gt;=0,TEXT($J35-$I35,"[tt]:mm"),"-"&amp;TEXT(ABS($J35-$I35),"[tt]:mm"))
),
IF(
$J35-$I35-$V$8&gt;=0,
TEXT($J35-$I35-$V$8,"[tt]:mm"),
"-"&amp;TEXT(ABS($J35-$I35-$V$8),"[tt]:mm")
)
)
)
)
))</f>
        <v>0:00</v>
      </c>
      <c r="L35" s="54" t="str">
        <f t="shared" si="3"/>
        <v>0</v>
      </c>
      <c r="M35" s="58" t="str">
        <f t="shared" si="4"/>
        <v>0:</v>
      </c>
      <c r="N35" s="51" t="str">
        <f t="shared" si="5"/>
        <v>0</v>
      </c>
      <c r="O35" s="57">
        <f t="shared" si="6"/>
        <v>0</v>
      </c>
      <c r="P35" s="6">
        <f t="shared" si="7"/>
        <v>0</v>
      </c>
      <c r="Q35" s="69"/>
    </row>
    <row r="36" spans="1:17" ht="15.75" x14ac:dyDescent="0.25">
      <c r="A36" s="12">
        <f t="shared" si="1"/>
        <v>1</v>
      </c>
      <c r="B36" s="13">
        <f t="shared" si="8"/>
        <v>45656</v>
      </c>
      <c r="C36" s="14" t="str" cm="1">
        <f t="array" ref="C36">_xlfn.SWITCH(WEEKDAY($D36, 2), 1, "Monday", 2, "Tuesday", 3, "Wednesday", 4, "Thursday", 5, "Friday", 6, "Saturday", 7, "Sunday")</f>
        <v>Monday</v>
      </c>
      <c r="D36">
        <f t="shared" si="0"/>
        <v>2</v>
      </c>
      <c r="E36" s="42">
        <f t="shared" si="2"/>
        <v>45656</v>
      </c>
      <c r="F36" s="15" t="s">
        <v>21</v>
      </c>
      <c r="G36" s="17">
        <f>IFERROR(
    IF($F36="N", $V$8,
        IF(OR(
            AND(Masterdata!$B$4&lt;&gt;DATE(1900,1,0), Masterdata!$B$4&lt;$E36),
            AND(Masterdata!$B$3&lt;&gt;DATE(1900,1,0), Masterdata!$B$3&gt;$E36)
        ),
        IF($H36&gt;=TIME(0,0,0), "Write in the next field", 0),
        IF($H36&gt;=TIME(0,0,0), "Write in the next field",
            IF($H36&gt;=0, 0,
                IF(OR($C36="Saturday", $C36="Sunday"), 0, 0)
            )
        )
    )),
"Write in the next field")</f>
        <v>0.30833333333333335</v>
      </c>
      <c r="H36" s="16">
        <v>0</v>
      </c>
      <c r="I36" s="16">
        <v>0</v>
      </c>
      <c r="J36" s="16">
        <v>0</v>
      </c>
      <c r="K36" s="63" t="str">
        <f>IF(F36="N","0:00",IF(
OR(
AND(Masterdata!$B$4&lt;&gt;DATE(1900,1,0),Masterdata!$B$4&lt;$E36),
AND(Masterdata!$B$3&lt;&gt;DATE(1900,1,0),Masterdata!$B$3&gt;$E36)
),
"0:00",
IF(
$H36&gt;TIME(0,0,0),
IF(
OR($C36="Saturday",$C36="Sunday"),
TEXT($H36,"[tt]:mm"),
IF($H36-$V$8&gt;=0,TEXT($H36-$V$8,"[tt]:mm"),"-"&amp;TEXT(ABS($H36-$V$8),"[tt]:mm"))
),
IF(
OR($C36="Saturday",$C36="Sunday"),
IF($J36-$I36&gt;=0,TEXT($J36-$I36,"[tt]:mm"),"-"&amp;TEXT(ABS($J36-$I36),"[tt]:mm")),
IFERROR(
IF($G36-$V$8=0,
IF($G36-$V$8&gt;=0,TEXT($G36-$V$8,"[tt]:mm"),"-"&amp;TEXT(ABS($G36-$V$8),"[tt]:mm")),
IF($J36-$I36&gt;=0,TEXT($J36-$I36,"[tt]:mm"),"-"&amp;TEXT(ABS($J36-$I36),"[tt]:mm"))
),
IF(
$J36-$I36-$V$8&gt;=0,
TEXT($J36-$I36-$V$8,"[tt]:mm"),
"-"&amp;TEXT(ABS($J36-$I36-$V$8),"[tt]:mm")
)
)
)
)
))</f>
        <v>0:00</v>
      </c>
      <c r="L36" s="54" t="str">
        <f t="shared" si="3"/>
        <v>0</v>
      </c>
      <c r="M36" s="58" t="str">
        <f t="shared" si="4"/>
        <v>0:</v>
      </c>
      <c r="N36" s="51" t="str">
        <f t="shared" si="5"/>
        <v>0</v>
      </c>
      <c r="O36" s="57">
        <f t="shared" si="6"/>
        <v>0</v>
      </c>
      <c r="P36" s="6">
        <f t="shared" si="7"/>
        <v>0</v>
      </c>
      <c r="Q36" s="69"/>
    </row>
    <row r="37" spans="1:17" ht="15.75" x14ac:dyDescent="0.25">
      <c r="A37" s="12">
        <f t="shared" si="1"/>
        <v>1</v>
      </c>
      <c r="B37" s="13">
        <f t="shared" si="8"/>
        <v>45657</v>
      </c>
      <c r="C37" s="14" t="str" cm="1">
        <f t="array" ref="C37">_xlfn.SWITCH(WEEKDAY($D37, 2), 1, "Monday", 2, "Tuesday", 3, "Wednesday", 4, "Thursday", 5, "Friday", 6, "Saturday", 7, "Sunday")</f>
        <v>Tuesday</v>
      </c>
      <c r="D37">
        <f t="shared" si="0"/>
        <v>3</v>
      </c>
      <c r="E37" s="42">
        <f t="shared" si="2"/>
        <v>45657</v>
      </c>
      <c r="F37" s="15" t="s">
        <v>21</v>
      </c>
      <c r="G37" s="17">
        <f>IFERROR(
    IF($F37="N", $V$8,
        IF(OR(
            AND(Masterdata!$B$4&lt;&gt;DATE(1900,1,0), Masterdata!$B$4&lt;$E37),
            AND(Masterdata!$B$3&lt;&gt;DATE(1900,1,0), Masterdata!$B$3&gt;$E37)
        ),
        IF($H37&gt;=TIME(0,0,0), "Write in the next field", 0),
        IF($H37&gt;=TIME(0,0,0), "Write in the next field",
            IF($H37&gt;=0, 0,
                IF(OR($C37="Saturday", $C37="Sunday"), 0, 0)
            )
        )
    )),
"Write in the next field")</f>
        <v>0.30833333333333335</v>
      </c>
      <c r="H37" s="16">
        <v>0</v>
      </c>
      <c r="I37" s="16">
        <v>0</v>
      </c>
      <c r="J37" s="16">
        <v>0</v>
      </c>
      <c r="K37" s="63" t="str">
        <f>IF(F37="N","0:00",IF(
OR(
AND(Masterdata!$B$4&lt;&gt;DATE(1900,1,0),Masterdata!$B$4&lt;$E37),
AND(Masterdata!$B$3&lt;&gt;DATE(1900,1,0),Masterdata!$B$3&gt;$E37)
),
"0:00",
IF(
$H37&gt;TIME(0,0,0),
IF(
OR($C37="Saturday",$C37="Sunday"),
TEXT($H37,"[tt]:mm"),
IF($H37-$V$8&gt;=0,TEXT($H37-$V$8,"[tt]:mm"),"-"&amp;TEXT(ABS($H37-$V$8),"[tt]:mm"))
),
IF(
OR($C37="Saturday",$C37="Sunday"),
IF($J37-$I37&gt;=0,TEXT($J37-$I37,"[tt]:mm"),"-"&amp;TEXT(ABS($J37-$I37),"[tt]:mm")),
IFERROR(
IF($G37-$V$8=0,
IF($G37-$V$8&gt;=0,TEXT($G37-$V$8,"[tt]:mm"),"-"&amp;TEXT(ABS($G37-$V$8),"[tt]:mm")),
IF($J37-$I37&gt;=0,TEXT($J37-$I37,"[tt]:mm"),"-"&amp;TEXT(ABS($J37-$I37),"[tt]:mm"))
),
IF(
$J37-$I37-$V$8&gt;=0,
TEXT($J37-$I37-$V$8,"[tt]:mm"),
"-"&amp;TEXT(ABS($J37-$I37-$V$8),"[tt]:mm")
)
)
)
)
))</f>
        <v>0:00</v>
      </c>
      <c r="L37" s="54" t="str">
        <f t="shared" si="3"/>
        <v>0</v>
      </c>
      <c r="M37" s="58" t="str">
        <f t="shared" si="4"/>
        <v>0:</v>
      </c>
      <c r="N37" s="51" t="str">
        <f t="shared" si="5"/>
        <v>0</v>
      </c>
      <c r="O37" s="57">
        <f t="shared" si="6"/>
        <v>0</v>
      </c>
      <c r="P37" s="6">
        <f t="shared" si="7"/>
        <v>0</v>
      </c>
      <c r="Q37" s="69"/>
    </row>
    <row r="38" spans="1:17" x14ac:dyDescent="0.25">
      <c r="K38" s="8"/>
      <c r="P38" s="6">
        <f>SUM(P7:P37)</f>
        <v>0</v>
      </c>
    </row>
  </sheetData>
  <sheetProtection algorithmName="SHA-512" hashValue="MF22ln5586L7m9Gq0Af5TgbJ8Yqgm1gnwMhgyWZJGygnX4NZcfiYezYvvLfVQRNcjvzIRfztef2XAxzxsZ7FbA==" saltValue="dbJ3Fvq+CGJb8tYDgNwldA==" spinCount="100000" sheet="1" objects="1" scenarios="1"/>
  <conditionalFormatting sqref="A7:G37">
    <cfRule type="expression" dxfId="8" priority="1">
      <formula>OR($C7="Saturday", $C7="Sunday")</formula>
    </cfRule>
  </conditionalFormatting>
  <conditionalFormatting sqref="G7:G37">
    <cfRule type="expression" dxfId="7" priority="2">
      <formula>AND($F7="N", NOT(OR($C7="Saturday", $C7="Sunday")))</formula>
    </cfRule>
  </conditionalFormatting>
  <conditionalFormatting sqref="H7:J37">
    <cfRule type="expression" dxfId="6" priority="168">
      <formula>$F7="R"</formula>
    </cfRule>
    <cfRule type="expression" dxfId="5" priority="169">
      <formula>OR($F7="N")</formula>
    </cfRule>
  </conditionalFormatting>
  <dataValidations count="1">
    <dataValidation type="list" allowBlank="1" showInputMessage="1" showErrorMessage="1" sqref="F7:F37" xr:uid="{F9B2D1E1-876A-40F2-B8D1-E071FA34ADA2}">
      <formula1>$Q$2:$Q$3</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7AC0-51D6-41E3-AA49-50F4AB48D533}">
  <sheetPr codeName="Ark2"/>
  <dimension ref="A1:T36"/>
  <sheetViews>
    <sheetView zoomScale="70" zoomScaleNormal="70" workbookViewId="0">
      <selection activeCell="F6" sqref="F6"/>
    </sheetView>
  </sheetViews>
  <sheetFormatPr defaultRowHeight="15" outlineLevelCol="1" x14ac:dyDescent="0.25"/>
  <cols>
    <col min="1" max="1" width="12.7109375" bestFit="1" customWidth="1"/>
    <col min="2" max="2" width="10.42578125" bestFit="1" customWidth="1"/>
    <col min="5" max="6" width="34.42578125" customWidth="1"/>
    <col min="7" max="8" width="14.42578125" customWidth="1"/>
    <col min="9" max="9" width="9.85546875" hidden="1" customWidth="1" outlineLevel="1"/>
    <col min="10" max="10" width="9.140625" hidden="1" customWidth="1" outlineLevel="1"/>
    <col min="11" max="11" width="9.140625" customWidth="1" collapsed="1"/>
    <col min="12" max="12" width="9.140625" customWidth="1"/>
    <col min="13" max="13" width="43" bestFit="1" customWidth="1"/>
    <col min="15" max="15" width="9.140625" customWidth="1" outlineLevel="1"/>
    <col min="16" max="16" width="24.7109375" customWidth="1" outlineLevel="1"/>
    <col min="17" max="17" width="43" customWidth="1" outlineLevel="1"/>
    <col min="18" max="18" width="7.85546875" customWidth="1" outlineLevel="1"/>
    <col min="19" max="19" width="19.42578125" customWidth="1" outlineLevel="1"/>
  </cols>
  <sheetData>
    <row r="1" spans="1:20" x14ac:dyDescent="0.25">
      <c r="A1" t="s">
        <v>18</v>
      </c>
      <c r="B1">
        <v>37</v>
      </c>
      <c r="E1" t="s">
        <v>54</v>
      </c>
    </row>
    <row r="2" spans="1:20" x14ac:dyDescent="0.25">
      <c r="A2" s="4">
        <f>B5</f>
        <v>45292</v>
      </c>
      <c r="B2" s="5">
        <f>B5</f>
        <v>45292</v>
      </c>
      <c r="E2" s="33" t="s">
        <v>55</v>
      </c>
    </row>
    <row r="3" spans="1:20" ht="15.75" thickBot="1" x14ac:dyDescent="0.3">
      <c r="E3" t="s">
        <v>56</v>
      </c>
      <c r="F3" t="s">
        <v>56</v>
      </c>
      <c r="G3" t="s">
        <v>57</v>
      </c>
      <c r="H3" t="s">
        <v>57</v>
      </c>
    </row>
    <row r="4" spans="1:20" ht="32.25" thickBot="1" x14ac:dyDescent="0.3">
      <c r="A4" s="9" t="s">
        <v>27</v>
      </c>
      <c r="B4" s="10" t="s">
        <v>28</v>
      </c>
      <c r="C4" s="10" t="s">
        <v>29</v>
      </c>
      <c r="D4" s="10" t="s">
        <v>19</v>
      </c>
      <c r="E4" s="10" t="s">
        <v>34</v>
      </c>
      <c r="F4" s="10" t="s">
        <v>35</v>
      </c>
      <c r="G4" s="11" t="s">
        <v>34</v>
      </c>
      <c r="H4" s="11" t="s">
        <v>35</v>
      </c>
      <c r="I4" s="10" t="s">
        <v>36</v>
      </c>
      <c r="J4" s="10" t="s">
        <v>4</v>
      </c>
      <c r="L4" t="s">
        <v>21</v>
      </c>
      <c r="M4" t="s">
        <v>58</v>
      </c>
      <c r="Q4" t="s">
        <v>41</v>
      </c>
      <c r="R4">
        <v>5</v>
      </c>
    </row>
    <row r="5" spans="1:20" ht="15.75" x14ac:dyDescent="0.25">
      <c r="A5" s="12">
        <f>INT(($B5-DATE(YEAR($B5-WEEKDAY($B5-1)+4),1,3)+WEEKDAY(DATE(YEAR($B5-WEEKDAY($B5-1)+4),1,3))+5)/7)</f>
        <v>1</v>
      </c>
      <c r="B5" s="13">
        <f>DATE(Masterdata!$B$5,1,1)</f>
        <v>45292</v>
      </c>
      <c r="C5" s="14">
        <f>B5</f>
        <v>45292</v>
      </c>
      <c r="D5" s="15" t="s">
        <v>21</v>
      </c>
      <c r="E5" s="16" cm="1">
        <f t="array" ref="E5">IFERROR(_xlfn.IFS($C5="lø",TIME(0,0,0),$C5="sø",TIME(0,0,0),$D5="N",TIME(8,0,0),$D5="F",TIME(0,0,0)),"Tast i næste felt")</f>
        <v>0.33333333333333331</v>
      </c>
      <c r="F5" s="16" cm="1">
        <f t="array" ref="F5">IFERROR(_xlfn.IFS($C5="lø",TIME(0,0,0),$C5="sø",TIME(0,0,0),$D5="N",$E5+$R$6,$D5="F",TIME(0,0,0)), "Tast i næste felt")</f>
        <v>0.64166666666666661</v>
      </c>
      <c r="G5" s="30">
        <v>0.33333333333333331</v>
      </c>
      <c r="H5" s="30">
        <v>0.64583333333333337</v>
      </c>
      <c r="I5" s="29">
        <f>IF($D5="F",TIME(0,0,0),IF($D5="N",TIME(0,0,0),IFERROR(IF(($F5-$E5)-$R$6=0,$F5-$E5-$R$6,$H5-$G5),$H5-$G5-$R$6)))</f>
        <v>0</v>
      </c>
      <c r="J5" s="31">
        <f>$I5*24</f>
        <v>0</v>
      </c>
      <c r="L5" t="s">
        <v>49</v>
      </c>
      <c r="M5" t="s">
        <v>59</v>
      </c>
      <c r="Q5" t="s">
        <v>42</v>
      </c>
      <c r="R5">
        <f>B1/R4</f>
        <v>7.4</v>
      </c>
      <c r="T5" s="8"/>
    </row>
    <row r="6" spans="1:20" ht="15.75" x14ac:dyDescent="0.25">
      <c r="A6" s="12">
        <f t="shared" ref="A6:A35" si="0">INT(($B6-DATE(YEAR($B6-WEEKDAY($B6-1)+4),1,3)+WEEKDAY(DATE(YEAR($B6-WEEKDAY($B6-1)+4),1,3))+5)/7)</f>
        <v>1</v>
      </c>
      <c r="B6" s="13">
        <f>B5+1</f>
        <v>45293</v>
      </c>
      <c r="C6" s="14">
        <f t="shared" ref="C6:C35" si="1">B6</f>
        <v>45293</v>
      </c>
      <c r="D6" s="15" t="s">
        <v>21</v>
      </c>
      <c r="E6" s="16" cm="1">
        <f t="array" ref="E6">IFERROR(_xlfn.IFS($C6="lø",TIME(0,0,0),$C6="sø",TIME(0,0,0),$D6="N",TIME(8,0,0),$D6="F",TIME(0,0,0)),"Tast i næste felt")</f>
        <v>0.33333333333333331</v>
      </c>
      <c r="F6" s="16" cm="1">
        <f t="array" ref="F6">IFERROR(_xlfn.IFS($C6="lø",TIME(0,0,0),$C6="sø",TIME(0,0,0),$D6="N",$E6+$R$6,$D6="F",TIME(0,0,0)), "Tast i næste felt")</f>
        <v>0.64166666666666661</v>
      </c>
      <c r="G6" s="16">
        <v>0.33333333333333331</v>
      </c>
      <c r="H6" s="16">
        <v>0.58333333333333337</v>
      </c>
      <c r="I6" s="17">
        <f>IF($D6="F",TIME(0,0,0),IFERROR(IF(($F6-$E6)-$R$6=0,($F6-$E6)-$R$6,$H6-$G6),$H6-$G6-$R$6))</f>
        <v>0.25000000000000006</v>
      </c>
      <c r="J6" s="31">
        <f>$I6*24</f>
        <v>6.0000000000000018</v>
      </c>
      <c r="K6" s="7"/>
      <c r="L6" t="s">
        <v>60</v>
      </c>
      <c r="M6" t="s">
        <v>61</v>
      </c>
      <c r="Q6" t="s">
        <v>43</v>
      </c>
      <c r="R6" s="3">
        <f>R5/24</f>
        <v>0.30833333333333335</v>
      </c>
    </row>
    <row r="7" spans="1:20" ht="15.75" x14ac:dyDescent="0.25">
      <c r="A7" s="12">
        <f t="shared" si="0"/>
        <v>1</v>
      </c>
      <c r="B7" s="13">
        <f t="shared" ref="B7:B35" si="2">B6+1</f>
        <v>45294</v>
      </c>
      <c r="C7" s="14">
        <f t="shared" si="1"/>
        <v>45294</v>
      </c>
      <c r="D7" s="15" t="s">
        <v>49</v>
      </c>
      <c r="E7" s="16" cm="1">
        <f t="array" ref="E7">IFERROR(_xlfn.IFS($C7="lø",TIME(0,0,0),$C7="sø",TIME(0,0,0),$D7="N",TIME(8,0,0),$D7="F",TIME(0,0,0)),"Tast i næste felt")</f>
        <v>0</v>
      </c>
      <c r="F7" s="16" cm="1">
        <f t="array" ref="F7">IFERROR(_xlfn.IFS($C7="lø",TIME(0,0,0),$C7="sø",TIME(0,0,0),$D7="N",$E7+$R$6,$D7="F",TIME(0,0,0)), "Tast i næste felt")</f>
        <v>0</v>
      </c>
      <c r="G7" s="16">
        <v>0</v>
      </c>
      <c r="H7" s="16">
        <v>0</v>
      </c>
      <c r="I7" s="17">
        <f>IFERROR(IF(($F7-$E7)-$R$6=0,$F7-$E7-$R$6,$H7-$G7),$H7-$G7-$R$6)</f>
        <v>0</v>
      </c>
      <c r="J7" s="31">
        <f t="shared" ref="J7:J35" si="3">$I7*24</f>
        <v>0</v>
      </c>
      <c r="L7" s="6"/>
      <c r="M7" s="8"/>
      <c r="O7" t="s">
        <v>21</v>
      </c>
      <c r="P7" t="s">
        <v>44</v>
      </c>
      <c r="Q7" t="s">
        <v>45</v>
      </c>
      <c r="R7" s="6">
        <f>(B1/37)*160.33</f>
        <v>160.33000000000001</v>
      </c>
    </row>
    <row r="8" spans="1:20" ht="15.75" x14ac:dyDescent="0.25">
      <c r="A8" s="12">
        <f t="shared" si="0"/>
        <v>1</v>
      </c>
      <c r="B8" s="13">
        <f t="shared" si="2"/>
        <v>45295</v>
      </c>
      <c r="C8" s="14">
        <f t="shared" si="1"/>
        <v>45295</v>
      </c>
      <c r="D8" s="15" t="s">
        <v>21</v>
      </c>
      <c r="E8" s="16" cm="1">
        <f t="array" ref="E8">IFERROR(_xlfn.IFS($C8="lø",TIME(0,0,0),$C8="sø",TIME(0,0,0),$D8="N",TIME(8,0,0),$D8="F",TIME(0,0,0)),"Tast i næste felt")</f>
        <v>0.33333333333333331</v>
      </c>
      <c r="F8" s="16" cm="1">
        <f t="array" ref="F8">IFERROR(_xlfn.IFS($C8="lø",TIME(0,0,0),$C8="sø",TIME(0,0,0),$D8="N",$E8+$R$6,$D8="F",TIME(0,0,0)), "Tast i næste felt")</f>
        <v>0.64166666666666661</v>
      </c>
      <c r="G8" s="16">
        <v>0</v>
      </c>
      <c r="H8" s="16">
        <v>0</v>
      </c>
      <c r="I8" s="17">
        <f t="shared" ref="I8:I35" si="4">IFERROR(IF(($F8-$E8)-$R$6=0,$F8-$E8-$R$6,$H8-$G8),$H8-$G8-$R$6)</f>
        <v>0</v>
      </c>
      <c r="J8" s="31">
        <f t="shared" si="3"/>
        <v>0</v>
      </c>
      <c r="M8" s="8"/>
      <c r="Q8" t="s">
        <v>62</v>
      </c>
      <c r="R8">
        <f>COUNTIF(D5:D35,"F")</f>
        <v>1</v>
      </c>
    </row>
    <row r="9" spans="1:20" ht="15.75" x14ac:dyDescent="0.25">
      <c r="A9" s="12">
        <f t="shared" si="0"/>
        <v>1</v>
      </c>
      <c r="B9" s="13">
        <f t="shared" si="2"/>
        <v>45296</v>
      </c>
      <c r="C9" s="14">
        <f t="shared" si="1"/>
        <v>45296</v>
      </c>
      <c r="D9" s="15" t="s">
        <v>21</v>
      </c>
      <c r="E9" s="16" cm="1">
        <f t="array" ref="E9">IFERROR(_xlfn.IFS($C9="lø",TIME(0,0,0),$C9="sø",TIME(0,0,0),$D9="N",TIME(8,0,0),$D9="F",TIME(0,0,0)),"Tast i næste felt")</f>
        <v>0.33333333333333331</v>
      </c>
      <c r="F9" s="16" cm="1">
        <f t="array" ref="F9">IFERROR(_xlfn.IFS($C9="lø",TIME(0,0,0),$C9="sø",TIME(0,0,0),$D9="N",$E9+$R$6,$D9="F",TIME(0,0,0)), "Tast i næste felt")</f>
        <v>0.64166666666666661</v>
      </c>
      <c r="G9" s="16">
        <v>0</v>
      </c>
      <c r="H9" s="16">
        <v>0</v>
      </c>
      <c r="I9" s="17">
        <f t="shared" si="4"/>
        <v>0</v>
      </c>
      <c r="J9" s="31">
        <f t="shared" si="3"/>
        <v>0</v>
      </c>
      <c r="L9" t="s">
        <v>63</v>
      </c>
      <c r="M9" s="8"/>
      <c r="R9" s="6"/>
    </row>
    <row r="10" spans="1:20" ht="15.75" x14ac:dyDescent="0.25">
      <c r="A10" s="18">
        <f t="shared" si="0"/>
        <v>1</v>
      </c>
      <c r="B10" s="19">
        <f t="shared" si="2"/>
        <v>45297</v>
      </c>
      <c r="C10" s="20" t="s">
        <v>64</v>
      </c>
      <c r="D10" s="21" t="s">
        <v>21</v>
      </c>
      <c r="E10" s="22" cm="1">
        <f t="array" ref="E10">IFERROR(_xlfn.IFS($C10="lø",TIME(0,0,0),$C10="sø",TIME(0,0,0),$D10="N",TIME(8,0,0),$D10="F",TIME(0,0,0)),"Tast i næste felt")</f>
        <v>0</v>
      </c>
      <c r="F10" s="22" cm="1">
        <f t="array" ref="F10">IFERROR(_xlfn.IFS($C10="lø",TIME(0,0,0),$C10="sø",TIME(0,0,0),$D10="N",$E10+$R$6,$D10="F",TIME(0,0,0)), "Tast i næste felt")</f>
        <v>0</v>
      </c>
      <c r="G10" s="22">
        <v>0</v>
      </c>
      <c r="H10" s="22">
        <v>0</v>
      </c>
      <c r="I10" s="17">
        <f t="shared" si="4"/>
        <v>0</v>
      </c>
      <c r="J10" s="31">
        <f t="shared" si="3"/>
        <v>0</v>
      </c>
      <c r="Q10" t="s">
        <v>65</v>
      </c>
      <c r="R10">
        <f>R8*R5</f>
        <v>7.4</v>
      </c>
    </row>
    <row r="11" spans="1:20" ht="15.75" x14ac:dyDescent="0.25">
      <c r="A11" s="18">
        <f t="shared" si="0"/>
        <v>1</v>
      </c>
      <c r="B11" s="19">
        <f t="shared" si="2"/>
        <v>45298</v>
      </c>
      <c r="C11" s="20" t="s">
        <v>66</v>
      </c>
      <c r="D11" s="23" t="s">
        <v>21</v>
      </c>
      <c r="E11" s="22" cm="1">
        <f t="array" ref="E11">IFERROR(_xlfn.IFS($C11="lø",TIME(0,0,0),$C11="sø",TIME(0,0,0),$D11="N",TIME(8,0,0),$D11="F",TIME(0,0,0)),"Tast i næste felt")</f>
        <v>0</v>
      </c>
      <c r="F11" s="22" cm="1">
        <f t="array" ref="F11">IFERROR(_xlfn.IFS($C11="lø",TIME(0,0,0),$C11="sø",TIME(0,0,0),$D11="N",$E11+$R$6,$D11="F",TIME(0,0,0)), "Tast i næste felt")</f>
        <v>0</v>
      </c>
      <c r="G11" s="22">
        <v>0</v>
      </c>
      <c r="H11" s="22">
        <v>0</v>
      </c>
      <c r="I11" s="17">
        <f t="shared" si="4"/>
        <v>0</v>
      </c>
      <c r="J11" s="31">
        <f t="shared" si="3"/>
        <v>0</v>
      </c>
    </row>
    <row r="12" spans="1:20" ht="15.75" x14ac:dyDescent="0.25">
      <c r="A12" s="12">
        <f t="shared" si="0"/>
        <v>2</v>
      </c>
      <c r="B12" s="13">
        <f t="shared" si="2"/>
        <v>45299</v>
      </c>
      <c r="C12" s="14">
        <f t="shared" si="1"/>
        <v>45299</v>
      </c>
      <c r="D12" s="15" t="s">
        <v>21</v>
      </c>
      <c r="E12" s="16" cm="1">
        <f t="array" ref="E12">IFERROR(_xlfn.IFS($C12="lø",TIME(0,0,0),$C12="sø",TIME(0,0,0),$D12="N",TIME(8,0,0),$D12="F",TIME(0,0,0)),"Tast i næste felt")</f>
        <v>0.33333333333333331</v>
      </c>
      <c r="F12" s="16" cm="1">
        <f t="array" ref="F12">IFERROR(_xlfn.IFS($C12="lø",TIME(0,0,0),$C12="sø",TIME(0,0,0),$D12="N",$E12+$R$6,$D12="F",TIME(0,0,0)), "Tast i næste felt")</f>
        <v>0.64166666666666661</v>
      </c>
      <c r="G12" s="16">
        <v>0</v>
      </c>
      <c r="H12" s="16">
        <v>0</v>
      </c>
      <c r="I12" s="17">
        <f t="shared" si="4"/>
        <v>0</v>
      </c>
      <c r="J12" s="31">
        <f t="shared" si="3"/>
        <v>0</v>
      </c>
      <c r="O12" t="s">
        <v>46</v>
      </c>
      <c r="P12" t="s">
        <v>47</v>
      </c>
      <c r="Q12" t="s">
        <v>48</v>
      </c>
      <c r="R12" s="6">
        <f>R7-R10</f>
        <v>152.93</v>
      </c>
    </row>
    <row r="13" spans="1:20" ht="15.75" x14ac:dyDescent="0.25">
      <c r="A13" s="12">
        <f t="shared" si="0"/>
        <v>2</v>
      </c>
      <c r="B13" s="13">
        <f t="shared" si="2"/>
        <v>45300</v>
      </c>
      <c r="C13" s="14">
        <f t="shared" si="1"/>
        <v>45300</v>
      </c>
      <c r="D13" s="15" t="s">
        <v>21</v>
      </c>
      <c r="E13" s="16" cm="1">
        <f t="array" ref="E13">IFERROR(_xlfn.IFS($C13="lø",TIME(0,0,0),$C13="sø",TIME(0,0,0),$D13="N",TIME(8,0,0),$D13="F",TIME(0,0,0)),"Tast i næste felt")</f>
        <v>0.33333333333333331</v>
      </c>
      <c r="F13" s="16" cm="1">
        <f t="array" ref="F13">IFERROR(_xlfn.IFS($C13="lø",TIME(0,0,0),$C13="sø",TIME(0,0,0),$D13="N",$E13+$R$6,$D13="F",TIME(0,0,0)), "Tast i næste felt")</f>
        <v>0.64166666666666661</v>
      </c>
      <c r="G13" s="16">
        <v>0</v>
      </c>
      <c r="H13" s="16">
        <v>0</v>
      </c>
      <c r="I13" s="17">
        <f t="shared" si="4"/>
        <v>0</v>
      </c>
      <c r="J13" s="31">
        <f t="shared" si="3"/>
        <v>0</v>
      </c>
      <c r="O13" t="s">
        <v>49</v>
      </c>
      <c r="P13" t="s">
        <v>50</v>
      </c>
      <c r="Q13" t="s">
        <v>51</v>
      </c>
      <c r="R13" s="6">
        <f>SUM(J5:J35)</f>
        <v>6.0000000000000018</v>
      </c>
    </row>
    <row r="14" spans="1:20" ht="15.75" x14ac:dyDescent="0.25">
      <c r="A14" s="12">
        <f t="shared" si="0"/>
        <v>2</v>
      </c>
      <c r="B14" s="13">
        <f t="shared" si="2"/>
        <v>45301</v>
      </c>
      <c r="C14" s="14">
        <f t="shared" si="1"/>
        <v>45301</v>
      </c>
      <c r="D14" s="15" t="s">
        <v>21</v>
      </c>
      <c r="E14" s="16" cm="1">
        <f t="array" ref="E14">IFERROR(_xlfn.IFS($C14="lø",TIME(0,0,0),$C14="sø",TIME(0,0,0),$D14="N",TIME(8,0,0),$D14="F",TIME(0,0,0)),"Tast i næste felt")</f>
        <v>0.33333333333333331</v>
      </c>
      <c r="F14" s="16" cm="1">
        <f t="array" ref="F14">IFERROR(_xlfn.IFS($C14="lø",TIME(0,0,0),$C14="sø",TIME(0,0,0),$D14="N",$E14+$R$6,$D14="F",TIME(0,0,0)), "Tast i næste felt")</f>
        <v>0.64166666666666661</v>
      </c>
      <c r="G14" s="16">
        <v>0</v>
      </c>
      <c r="H14" s="16">
        <v>0</v>
      </c>
      <c r="I14" s="17">
        <f t="shared" si="4"/>
        <v>0</v>
      </c>
      <c r="J14" s="31">
        <f t="shared" si="3"/>
        <v>0</v>
      </c>
      <c r="O14" t="s">
        <v>23</v>
      </c>
      <c r="P14" t="s">
        <v>52</v>
      </c>
      <c r="Q14" t="s">
        <v>53</v>
      </c>
      <c r="R14" s="32">
        <f>R12-R13</f>
        <v>146.93</v>
      </c>
      <c r="S14" s="33" t="s">
        <v>67</v>
      </c>
    </row>
    <row r="15" spans="1:20" ht="15.75" x14ac:dyDescent="0.25">
      <c r="A15" s="12">
        <f t="shared" si="0"/>
        <v>2</v>
      </c>
      <c r="B15" s="13">
        <f t="shared" si="2"/>
        <v>45302</v>
      </c>
      <c r="C15" s="14">
        <f t="shared" si="1"/>
        <v>45302</v>
      </c>
      <c r="D15" s="15" t="s">
        <v>21</v>
      </c>
      <c r="E15" s="24" cm="1">
        <f t="array" ref="E15">IFERROR(_xlfn.IFS($C15="lø",TIME(0,0,0),$C15="sø",TIME(0,0,0),$D15="N",TIME(8,0,0),$D15="F",TIME(0,0,0)),"Tast i næste felt")</f>
        <v>0.33333333333333331</v>
      </c>
      <c r="F15" s="24" cm="1">
        <f t="array" ref="F15">IFERROR(_xlfn.IFS($C15="lø",TIME(0,0,0),$C15="sø",TIME(0,0,0),$D15="N",$E15+$R$6,$D15="F",TIME(0,0,0)), "Tast i næste felt")</f>
        <v>0.64166666666666661</v>
      </c>
      <c r="G15" s="24">
        <v>0</v>
      </c>
      <c r="H15" s="24">
        <v>0</v>
      </c>
      <c r="I15" s="17">
        <f t="shared" si="4"/>
        <v>0</v>
      </c>
      <c r="J15" s="31">
        <f t="shared" si="3"/>
        <v>0</v>
      </c>
    </row>
    <row r="16" spans="1:20" ht="15.75" x14ac:dyDescent="0.25">
      <c r="A16" s="12">
        <f t="shared" si="0"/>
        <v>2</v>
      </c>
      <c r="B16" s="13">
        <f t="shared" si="2"/>
        <v>45303</v>
      </c>
      <c r="C16" s="14">
        <f t="shared" si="1"/>
        <v>45303</v>
      </c>
      <c r="D16" s="15" t="s">
        <v>21</v>
      </c>
      <c r="E16" s="24" cm="1">
        <f t="array" ref="E16">IFERROR(_xlfn.IFS($C16="lø",TIME(0,0,0),$C16="sø",TIME(0,0,0),$D16="N",TIME(8,0,0),$D16="F",TIME(0,0,0)),"Tast i næste felt")</f>
        <v>0.33333333333333331</v>
      </c>
      <c r="F16" s="24" cm="1">
        <f t="array" ref="F16">IFERROR(_xlfn.IFS($C16="lø",TIME(0,0,0),$C16="sø",TIME(0,0,0),$D16="N",$E16+$R$6,$D16="F",TIME(0,0,0)), "Tast i næste felt")</f>
        <v>0.64166666666666661</v>
      </c>
      <c r="G16" s="24">
        <v>0</v>
      </c>
      <c r="H16" s="24">
        <v>0</v>
      </c>
      <c r="I16" s="17">
        <f t="shared" si="4"/>
        <v>0</v>
      </c>
      <c r="J16" s="31">
        <f t="shared" si="3"/>
        <v>0</v>
      </c>
    </row>
    <row r="17" spans="1:10" ht="15.75" x14ac:dyDescent="0.25">
      <c r="A17" s="18">
        <f t="shared" si="0"/>
        <v>2</v>
      </c>
      <c r="B17" s="19">
        <f t="shared" si="2"/>
        <v>45304</v>
      </c>
      <c r="C17" s="20" t="s">
        <v>64</v>
      </c>
      <c r="D17" s="21" t="s">
        <v>21</v>
      </c>
      <c r="E17" s="22" cm="1">
        <f t="array" ref="E17">IFERROR(_xlfn.IFS($C17="lø",TIME(0,0,0),$C17="sø",TIME(0,0,0),$D17="N",TIME(8,0,0),$D17="F",TIME(0,0,0)),"Tast i næste felt")</f>
        <v>0</v>
      </c>
      <c r="F17" s="22" cm="1">
        <f t="array" ref="F17">IFERROR(_xlfn.IFS($C17="lø",TIME(0,0,0),$C17="sø",TIME(0,0,0),$D17="N",$E17+$R$6,$D17="F",TIME(0,0,0)), "Tast i næste felt")</f>
        <v>0</v>
      </c>
      <c r="G17" s="22">
        <v>0</v>
      </c>
      <c r="H17" s="22">
        <v>0</v>
      </c>
      <c r="I17" s="17">
        <f t="shared" si="4"/>
        <v>0</v>
      </c>
      <c r="J17" s="31">
        <f t="shared" si="3"/>
        <v>0</v>
      </c>
    </row>
    <row r="18" spans="1:10" ht="15.75" x14ac:dyDescent="0.25">
      <c r="A18" s="18">
        <f t="shared" si="0"/>
        <v>2</v>
      </c>
      <c r="B18" s="19">
        <f t="shared" si="2"/>
        <v>45305</v>
      </c>
      <c r="C18" s="20" t="s">
        <v>66</v>
      </c>
      <c r="D18" s="23" t="s">
        <v>21</v>
      </c>
      <c r="E18" s="22" cm="1">
        <f t="array" ref="E18">IFERROR(_xlfn.IFS($C18="lø",TIME(0,0,0),$C18="sø",TIME(0,0,0),$D18="N",TIME(8,0,0),$D18="F",TIME(0,0,0)),"Tast i næste felt")</f>
        <v>0</v>
      </c>
      <c r="F18" s="22" cm="1">
        <f t="array" ref="F18">IFERROR(_xlfn.IFS($C18="lø",TIME(0,0,0),$C18="sø",TIME(0,0,0),$D18="N",$E18+$R$6,$D18="F",TIME(0,0,0)), "Tast i næste felt")</f>
        <v>0</v>
      </c>
      <c r="G18" s="22">
        <v>0</v>
      </c>
      <c r="H18" s="22">
        <v>0</v>
      </c>
      <c r="I18" s="17">
        <f t="shared" si="4"/>
        <v>0</v>
      </c>
      <c r="J18" s="31">
        <f t="shared" si="3"/>
        <v>0</v>
      </c>
    </row>
    <row r="19" spans="1:10" ht="15.75" x14ac:dyDescent="0.25">
      <c r="A19" s="12">
        <f t="shared" si="0"/>
        <v>3</v>
      </c>
      <c r="B19" s="13">
        <f t="shared" si="2"/>
        <v>45306</v>
      </c>
      <c r="C19" s="14">
        <f t="shared" si="1"/>
        <v>45306</v>
      </c>
      <c r="D19" s="15" t="s">
        <v>21</v>
      </c>
      <c r="E19" s="16" cm="1">
        <f t="array" ref="E19">IFERROR(_xlfn.IFS($C19="lø",TIME(0,0,0),$C19="sø",TIME(0,0,0),$D19="N",TIME(8,0,0),$D19="F",TIME(0,0,0)),"Tast i næste felt")</f>
        <v>0.33333333333333331</v>
      </c>
      <c r="F19" s="16" cm="1">
        <f t="array" ref="F19">IFERROR(_xlfn.IFS($C19="lø",TIME(0,0,0),$C19="sø",TIME(0,0,0),$D19="N",$E19+$R$6,$D19="F",TIME(0,0,0)), "Tast i næste felt")</f>
        <v>0.64166666666666661</v>
      </c>
      <c r="G19" s="16">
        <v>0</v>
      </c>
      <c r="H19" s="16">
        <v>0</v>
      </c>
      <c r="I19" s="17">
        <f t="shared" si="4"/>
        <v>0</v>
      </c>
      <c r="J19" s="31">
        <f t="shared" si="3"/>
        <v>0</v>
      </c>
    </row>
    <row r="20" spans="1:10" ht="15.75" x14ac:dyDescent="0.25">
      <c r="A20" s="12">
        <f t="shared" si="0"/>
        <v>3</v>
      </c>
      <c r="B20" s="13">
        <f t="shared" si="2"/>
        <v>45307</v>
      </c>
      <c r="C20" s="14">
        <f t="shared" si="1"/>
        <v>45307</v>
      </c>
      <c r="D20" s="15" t="s">
        <v>21</v>
      </c>
      <c r="E20" s="16" cm="1">
        <f t="array" ref="E20">IFERROR(_xlfn.IFS($C20="lø",TIME(0,0,0),$C20="sø",TIME(0,0,0),$D20="N",TIME(8,0,0),$D20="F",TIME(0,0,0)),"Tast i næste felt")</f>
        <v>0.33333333333333331</v>
      </c>
      <c r="F20" s="16" cm="1">
        <f t="array" ref="F20">IFERROR(_xlfn.IFS($C20="lø",TIME(0,0,0),$C20="sø",TIME(0,0,0),$D20="N",$E20+$R$6,$D20="F",TIME(0,0,0)), "Tast i næste felt")</f>
        <v>0.64166666666666661</v>
      </c>
      <c r="G20" s="16">
        <v>0</v>
      </c>
      <c r="H20" s="16">
        <v>0</v>
      </c>
      <c r="I20" s="17">
        <f t="shared" si="4"/>
        <v>0</v>
      </c>
      <c r="J20" s="31">
        <f t="shared" si="3"/>
        <v>0</v>
      </c>
    </row>
    <row r="21" spans="1:10" ht="15.75" x14ac:dyDescent="0.25">
      <c r="A21" s="12">
        <f t="shared" si="0"/>
        <v>3</v>
      </c>
      <c r="B21" s="13">
        <f t="shared" si="2"/>
        <v>45308</v>
      </c>
      <c r="C21" s="14">
        <f t="shared" si="1"/>
        <v>45308</v>
      </c>
      <c r="D21" s="15" t="s">
        <v>21</v>
      </c>
      <c r="E21" s="16" cm="1">
        <f t="array" ref="E21">IFERROR(_xlfn.IFS($C21="lø",TIME(0,0,0),$C21="sø",TIME(0,0,0),$D21="N",TIME(8,0,0),$D21="F",TIME(0,0,0)),"Tast i næste felt")</f>
        <v>0.33333333333333331</v>
      </c>
      <c r="F21" s="16" cm="1">
        <f t="array" ref="F21">IFERROR(_xlfn.IFS($C21="lø",TIME(0,0,0),$C21="sø",TIME(0,0,0),$D21="N",$E21+$R$6,$D21="F",TIME(0,0,0)), "Tast i næste felt")</f>
        <v>0.64166666666666661</v>
      </c>
      <c r="G21" s="16">
        <v>0</v>
      </c>
      <c r="H21" s="16">
        <v>0</v>
      </c>
      <c r="I21" s="17">
        <f t="shared" si="4"/>
        <v>0</v>
      </c>
      <c r="J21" s="31">
        <f t="shared" si="3"/>
        <v>0</v>
      </c>
    </row>
    <row r="22" spans="1:10" ht="15.75" x14ac:dyDescent="0.25">
      <c r="A22" s="12">
        <f t="shared" si="0"/>
        <v>3</v>
      </c>
      <c r="B22" s="13">
        <f t="shared" si="2"/>
        <v>45309</v>
      </c>
      <c r="C22" s="14">
        <f t="shared" si="1"/>
        <v>45309</v>
      </c>
      <c r="D22" s="15" t="s">
        <v>21</v>
      </c>
      <c r="E22" s="24" cm="1">
        <f t="array" ref="E22">IFERROR(_xlfn.IFS($C22="lø",TIME(0,0,0),$C22="sø",TIME(0,0,0),$D22="N",TIME(8,0,0),$D22="F",TIME(0,0,0)),"Tast i næste felt")</f>
        <v>0.33333333333333331</v>
      </c>
      <c r="F22" s="24" cm="1">
        <f t="array" ref="F22">IFERROR(_xlfn.IFS($C22="lø",TIME(0,0,0),$C22="sø",TIME(0,0,0),$D22="N",$E22+$R$6,$D22="F",TIME(0,0,0)), "Tast i næste felt")</f>
        <v>0.64166666666666661</v>
      </c>
      <c r="G22" s="24">
        <v>0</v>
      </c>
      <c r="H22" s="24">
        <v>0</v>
      </c>
      <c r="I22" s="17">
        <f t="shared" si="4"/>
        <v>0</v>
      </c>
      <c r="J22" s="31">
        <f t="shared" si="3"/>
        <v>0</v>
      </c>
    </row>
    <row r="23" spans="1:10" ht="15.75" x14ac:dyDescent="0.25">
      <c r="A23" s="12">
        <f t="shared" si="0"/>
        <v>3</v>
      </c>
      <c r="B23" s="13">
        <f t="shared" si="2"/>
        <v>45310</v>
      </c>
      <c r="C23" s="14">
        <f t="shared" si="1"/>
        <v>45310</v>
      </c>
      <c r="D23" s="15" t="s">
        <v>21</v>
      </c>
      <c r="E23" s="16" cm="1">
        <f t="array" ref="E23">IFERROR(_xlfn.IFS($C23="lø",TIME(0,0,0),$C23="sø",TIME(0,0,0),$D23="N",TIME(8,0,0),$D23="F",TIME(0,0,0)),"Tast i næste felt")</f>
        <v>0.33333333333333331</v>
      </c>
      <c r="F23" s="16" cm="1">
        <f t="array" ref="F23">IFERROR(_xlfn.IFS($C23="lø",TIME(0,0,0),$C23="sø",TIME(0,0,0),$D23="N",$E23+$R$6,$D23="F",TIME(0,0,0)), "Tast i næste felt")</f>
        <v>0.64166666666666661</v>
      </c>
      <c r="G23" s="24">
        <v>0</v>
      </c>
      <c r="H23" s="24">
        <v>0</v>
      </c>
      <c r="I23" s="17">
        <f t="shared" si="4"/>
        <v>0</v>
      </c>
      <c r="J23" s="31">
        <f t="shared" si="3"/>
        <v>0</v>
      </c>
    </row>
    <row r="24" spans="1:10" ht="15.75" x14ac:dyDescent="0.25">
      <c r="A24" s="18">
        <f t="shared" si="0"/>
        <v>3</v>
      </c>
      <c r="B24" s="19">
        <f t="shared" si="2"/>
        <v>45311</v>
      </c>
      <c r="C24" s="20" t="s">
        <v>64</v>
      </c>
      <c r="D24" s="21" t="s">
        <v>21</v>
      </c>
      <c r="E24" s="22" cm="1">
        <f t="array" ref="E24">IFERROR(_xlfn.IFS($C24="lø",TIME(0,0,0),$C24="sø",TIME(0,0,0),$D24="N",TIME(8,0,0),$D24="F",TIME(0,0,0)),"Tast i næste felt")</f>
        <v>0</v>
      </c>
      <c r="F24" s="22" cm="1">
        <f t="array" ref="F24">IFERROR(_xlfn.IFS($C24="lø",TIME(0,0,0),$C24="sø",TIME(0,0,0),$D24="N",$E24+$R$6,$D24="F",TIME(0,0,0)), "Tast i næste felt")</f>
        <v>0</v>
      </c>
      <c r="G24" s="22">
        <v>0</v>
      </c>
      <c r="H24" s="22">
        <v>0</v>
      </c>
      <c r="I24" s="17">
        <f t="shared" si="4"/>
        <v>0</v>
      </c>
      <c r="J24" s="31">
        <f t="shared" si="3"/>
        <v>0</v>
      </c>
    </row>
    <row r="25" spans="1:10" ht="15.75" x14ac:dyDescent="0.25">
      <c r="A25" s="18">
        <f t="shared" si="0"/>
        <v>3</v>
      </c>
      <c r="B25" s="19">
        <f t="shared" si="2"/>
        <v>45312</v>
      </c>
      <c r="C25" s="20" t="s">
        <v>66</v>
      </c>
      <c r="D25" s="23" t="s">
        <v>21</v>
      </c>
      <c r="E25" s="22" cm="1">
        <f t="array" ref="E25">IFERROR(_xlfn.IFS($C25="lø",TIME(0,0,0),$C25="sø",TIME(0,0,0),$D25="N",TIME(8,0,0),$D25="F",TIME(0,0,0)),"Tast i næste felt")</f>
        <v>0</v>
      </c>
      <c r="F25" s="22" cm="1">
        <f t="array" ref="F25">IFERROR(_xlfn.IFS($C25="lø",TIME(0,0,0),$C25="sø",TIME(0,0,0),$D25="N",$E25+$R$6,$D25="F",TIME(0,0,0)), "Tast i næste felt")</f>
        <v>0</v>
      </c>
      <c r="G25" s="22">
        <v>0</v>
      </c>
      <c r="H25" s="22">
        <v>0</v>
      </c>
      <c r="I25" s="17">
        <f t="shared" si="4"/>
        <v>0</v>
      </c>
      <c r="J25" s="31">
        <f t="shared" si="3"/>
        <v>0</v>
      </c>
    </row>
    <row r="26" spans="1:10" ht="15.75" x14ac:dyDescent="0.25">
      <c r="A26" s="12">
        <f t="shared" si="0"/>
        <v>4</v>
      </c>
      <c r="B26" s="13">
        <f t="shared" si="2"/>
        <v>45313</v>
      </c>
      <c r="C26" s="14">
        <f t="shared" si="1"/>
        <v>45313</v>
      </c>
      <c r="D26" s="15" t="s">
        <v>21</v>
      </c>
      <c r="E26" s="16" cm="1">
        <f t="array" ref="E26">IFERROR(_xlfn.IFS($C26="lø",TIME(0,0,0),$C26="sø",TIME(0,0,0),$D26="N",TIME(8,0,0),$D26="F",TIME(0,0,0)),"Tast i næste felt")</f>
        <v>0.33333333333333331</v>
      </c>
      <c r="F26" s="16" cm="1">
        <f t="array" ref="F26">IFERROR(_xlfn.IFS($C26="lø",TIME(0,0,0),$C26="sø",TIME(0,0,0),$D26="N",$E26+$R$6,$D26="F",TIME(0,0,0)), "Tast i næste felt")</f>
        <v>0.64166666666666661</v>
      </c>
      <c r="G26" s="16">
        <v>0</v>
      </c>
      <c r="H26" s="16">
        <v>0</v>
      </c>
      <c r="I26" s="17">
        <f t="shared" si="4"/>
        <v>0</v>
      </c>
      <c r="J26" s="31">
        <f t="shared" si="3"/>
        <v>0</v>
      </c>
    </row>
    <row r="27" spans="1:10" ht="15.75" x14ac:dyDescent="0.25">
      <c r="A27" s="12">
        <f t="shared" si="0"/>
        <v>4</v>
      </c>
      <c r="B27" s="13">
        <f t="shared" si="2"/>
        <v>45314</v>
      </c>
      <c r="C27" s="14">
        <f t="shared" si="1"/>
        <v>45314</v>
      </c>
      <c r="D27" s="15" t="s">
        <v>21</v>
      </c>
      <c r="E27" s="16" cm="1">
        <f t="array" ref="E27">IFERROR(_xlfn.IFS($C27="lø",TIME(0,0,0),$C27="sø",TIME(0,0,0),$D27="N",TIME(8,0,0),$D27="F",TIME(0,0,0)),"Tast i næste felt")</f>
        <v>0.33333333333333331</v>
      </c>
      <c r="F27" s="16" cm="1">
        <f t="array" ref="F27">IFERROR(_xlfn.IFS($C27="lø",TIME(0,0,0),$C27="sø",TIME(0,0,0),$D27="N",$E27+$R$6,$D27="F",TIME(0,0,0)), "Tast i næste felt")</f>
        <v>0.64166666666666661</v>
      </c>
      <c r="G27" s="16">
        <v>0</v>
      </c>
      <c r="H27" s="16">
        <v>0</v>
      </c>
      <c r="I27" s="17">
        <f t="shared" si="4"/>
        <v>0</v>
      </c>
      <c r="J27" s="31">
        <f t="shared" si="3"/>
        <v>0</v>
      </c>
    </row>
    <row r="28" spans="1:10" ht="15.75" x14ac:dyDescent="0.25">
      <c r="A28" s="12">
        <f t="shared" si="0"/>
        <v>4</v>
      </c>
      <c r="B28" s="13">
        <f t="shared" si="2"/>
        <v>45315</v>
      </c>
      <c r="C28" s="14">
        <f t="shared" si="1"/>
        <v>45315</v>
      </c>
      <c r="D28" s="15" t="s">
        <v>21</v>
      </c>
      <c r="E28" s="16" cm="1">
        <f t="array" ref="E28">IFERROR(_xlfn.IFS($C28="lø",TIME(0,0,0),$C28="sø",TIME(0,0,0),$D28="N",TIME(8,0,0),$D28="F",TIME(0,0,0)),"Tast i næste felt")</f>
        <v>0.33333333333333331</v>
      </c>
      <c r="F28" s="16" cm="1">
        <f t="array" ref="F28">IFERROR(_xlfn.IFS($C28="lø",TIME(0,0,0),$C28="sø",TIME(0,0,0),$D28="N",$E28+$R$6,$D28="F",TIME(0,0,0)), "Tast i næste felt")</f>
        <v>0.64166666666666661</v>
      </c>
      <c r="G28" s="16">
        <v>0</v>
      </c>
      <c r="H28" s="16">
        <v>0</v>
      </c>
      <c r="I28" s="17">
        <f t="shared" si="4"/>
        <v>0</v>
      </c>
      <c r="J28" s="31">
        <f t="shared" si="3"/>
        <v>0</v>
      </c>
    </row>
    <row r="29" spans="1:10" ht="15.75" x14ac:dyDescent="0.25">
      <c r="A29" s="12">
        <f t="shared" si="0"/>
        <v>4</v>
      </c>
      <c r="B29" s="13">
        <f t="shared" si="2"/>
        <v>45316</v>
      </c>
      <c r="C29" s="14">
        <f t="shared" si="1"/>
        <v>45316</v>
      </c>
      <c r="D29" s="15" t="s">
        <v>21</v>
      </c>
      <c r="E29" s="16" cm="1">
        <f t="array" ref="E29">IFERROR(_xlfn.IFS($C29="lø",TIME(0,0,0),$C29="sø",TIME(0,0,0),$D29="N",TIME(8,0,0),$D29="F",TIME(0,0,0)),"Tast i næste felt")</f>
        <v>0.33333333333333331</v>
      </c>
      <c r="F29" s="16" cm="1">
        <f t="array" ref="F29">IFERROR(_xlfn.IFS($C29="lø",TIME(0,0,0),$C29="sø",TIME(0,0,0),$D29="N",$E29+$R$6,$D29="F",TIME(0,0,0)), "Tast i næste felt")</f>
        <v>0.64166666666666661</v>
      </c>
      <c r="G29" s="24">
        <v>0</v>
      </c>
      <c r="H29" s="24">
        <v>0</v>
      </c>
      <c r="I29" s="17">
        <f t="shared" si="4"/>
        <v>0</v>
      </c>
      <c r="J29" s="31">
        <f t="shared" si="3"/>
        <v>0</v>
      </c>
    </row>
    <row r="30" spans="1:10" ht="15.75" x14ac:dyDescent="0.25">
      <c r="A30" s="12">
        <f t="shared" si="0"/>
        <v>4</v>
      </c>
      <c r="B30" s="13">
        <f t="shared" si="2"/>
        <v>45317</v>
      </c>
      <c r="C30" s="14">
        <f t="shared" si="1"/>
        <v>45317</v>
      </c>
      <c r="D30" s="15" t="s">
        <v>21</v>
      </c>
      <c r="E30" s="24" cm="1">
        <f t="array" ref="E30">IFERROR(_xlfn.IFS($C30="lø",TIME(0,0,0),$C30="sø",TIME(0,0,0),$D30="N",TIME(8,0,0),$D30="F",TIME(0,0,0)),"Tast i næste felt")</f>
        <v>0.33333333333333331</v>
      </c>
      <c r="F30" s="24" cm="1">
        <f t="array" ref="F30">IFERROR(_xlfn.IFS($C30="lø",TIME(0,0,0),$C30="sø",TIME(0,0,0),$D30="N",$E30+$R$6,$D30="F",TIME(0,0,0)), "Tast i næste felt")</f>
        <v>0.64166666666666661</v>
      </c>
      <c r="G30" s="24">
        <v>0</v>
      </c>
      <c r="H30" s="24">
        <v>0</v>
      </c>
      <c r="I30" s="17">
        <f t="shared" si="4"/>
        <v>0</v>
      </c>
      <c r="J30" s="31">
        <f t="shared" si="3"/>
        <v>0</v>
      </c>
    </row>
    <row r="31" spans="1:10" ht="15.75" x14ac:dyDescent="0.25">
      <c r="A31" s="18">
        <f t="shared" si="0"/>
        <v>4</v>
      </c>
      <c r="B31" s="19">
        <f t="shared" si="2"/>
        <v>45318</v>
      </c>
      <c r="C31" s="20" t="s">
        <v>64</v>
      </c>
      <c r="D31" s="21" t="s">
        <v>21</v>
      </c>
      <c r="E31" s="22" cm="1">
        <f t="array" ref="E31">IFERROR(_xlfn.IFS($C31="lø",TIME(0,0,0),$C31="sø",TIME(0,0,0),$D31="N",TIME(8,0,0),$D31="F",TIME(0,0,0)),"Tast i næste felt")</f>
        <v>0</v>
      </c>
      <c r="F31" s="22" cm="1">
        <f t="array" ref="F31">IFERROR(_xlfn.IFS($C31="lø",TIME(0,0,0),$C31="sø",TIME(0,0,0),$D31="N",$E31+$R$6,$D31="F",TIME(0,0,0)), "Tast i næste felt")</f>
        <v>0</v>
      </c>
      <c r="G31" s="22">
        <v>0</v>
      </c>
      <c r="H31" s="22">
        <v>0</v>
      </c>
      <c r="I31" s="17">
        <f t="shared" si="4"/>
        <v>0</v>
      </c>
      <c r="J31" s="31">
        <f t="shared" si="3"/>
        <v>0</v>
      </c>
    </row>
    <row r="32" spans="1:10" ht="15.75" x14ac:dyDescent="0.25">
      <c r="A32" s="18">
        <f t="shared" si="0"/>
        <v>4</v>
      </c>
      <c r="B32" s="19">
        <f t="shared" si="2"/>
        <v>45319</v>
      </c>
      <c r="C32" s="20" t="s">
        <v>66</v>
      </c>
      <c r="D32" s="23" t="s">
        <v>21</v>
      </c>
      <c r="E32" s="22" cm="1">
        <f t="array" ref="E32">IFERROR(_xlfn.IFS($C32="lø",TIME(0,0,0),$C32="sø",TIME(0,0,0),$D32="N",TIME(8,0,0),$D32="F",TIME(0,0,0)),"Tast i næste felt")</f>
        <v>0</v>
      </c>
      <c r="F32" s="22" cm="1">
        <f t="array" ref="F32">IFERROR(_xlfn.IFS($C32="lø",TIME(0,0,0),$C32="sø",TIME(0,0,0),$D32="N",$E32+$R$6,$D32="F",TIME(0,0,0)), "Tast i næste felt")</f>
        <v>0</v>
      </c>
      <c r="G32" s="22">
        <v>0</v>
      </c>
      <c r="H32" s="22">
        <v>0</v>
      </c>
      <c r="I32" s="17">
        <f t="shared" si="4"/>
        <v>0</v>
      </c>
      <c r="J32" s="31">
        <f t="shared" si="3"/>
        <v>0</v>
      </c>
    </row>
    <row r="33" spans="1:10" ht="15.75" x14ac:dyDescent="0.25">
      <c r="A33" s="12">
        <f t="shared" si="0"/>
        <v>5</v>
      </c>
      <c r="B33" s="13">
        <f t="shared" si="2"/>
        <v>45320</v>
      </c>
      <c r="C33" s="14">
        <f t="shared" si="1"/>
        <v>45320</v>
      </c>
      <c r="D33" s="15" t="s">
        <v>21</v>
      </c>
      <c r="E33" s="16" cm="1">
        <f t="array" ref="E33">IFERROR(_xlfn.IFS($C33="lø",TIME(0,0,0),$C33="sø",TIME(0,0,0),$D33="N",TIME(8,0,0),$D33="F",TIME(0,0,0)),"Tast i næste felt")</f>
        <v>0.33333333333333331</v>
      </c>
      <c r="F33" s="16" cm="1">
        <f t="array" ref="F33">IFERROR(_xlfn.IFS($C33="lø",TIME(0,0,0),$C33="sø",TIME(0,0,0),$D33="N",$E33+$R$6,$D33="F",TIME(0,0,0)), "Tast i næste felt")</f>
        <v>0.64166666666666661</v>
      </c>
      <c r="G33" s="16">
        <v>0</v>
      </c>
      <c r="H33" s="16">
        <v>0</v>
      </c>
      <c r="I33" s="17">
        <f t="shared" si="4"/>
        <v>0</v>
      </c>
      <c r="J33" s="31">
        <f t="shared" si="3"/>
        <v>0</v>
      </c>
    </row>
    <row r="34" spans="1:10" ht="15.75" x14ac:dyDescent="0.25">
      <c r="A34" s="12">
        <f t="shared" si="0"/>
        <v>5</v>
      </c>
      <c r="B34" s="13">
        <f t="shared" si="2"/>
        <v>45321</v>
      </c>
      <c r="C34" s="14">
        <f t="shared" si="1"/>
        <v>45321</v>
      </c>
      <c r="D34" s="15" t="s">
        <v>21</v>
      </c>
      <c r="E34" s="16" cm="1">
        <f t="array" ref="E34">IFERROR(_xlfn.IFS($C34="lø",TIME(0,0,0),$C34="sø",TIME(0,0,0),$D34="N",TIME(8,0,0),$D34="F",TIME(0,0,0)),"Tast i næste felt")</f>
        <v>0.33333333333333331</v>
      </c>
      <c r="F34" s="16" cm="1">
        <f t="array" ref="F34">IFERROR(_xlfn.IFS($C34="lø",TIME(0,0,0),$C34="sø",TIME(0,0,0),$D34="N",$E34+$R$6,$D34="F",TIME(0,0,0)), "Tast i næste felt")</f>
        <v>0.64166666666666661</v>
      </c>
      <c r="G34" s="16">
        <v>0</v>
      </c>
      <c r="H34" s="16">
        <v>0</v>
      </c>
      <c r="I34" s="17">
        <f t="shared" si="4"/>
        <v>0</v>
      </c>
      <c r="J34" s="31">
        <f t="shared" si="3"/>
        <v>0</v>
      </c>
    </row>
    <row r="35" spans="1:10" ht="15.75" x14ac:dyDescent="0.25">
      <c r="A35" s="25">
        <f t="shared" si="0"/>
        <v>5</v>
      </c>
      <c r="B35" s="26">
        <f t="shared" si="2"/>
        <v>45322</v>
      </c>
      <c r="C35" s="27">
        <f t="shared" si="1"/>
        <v>45322</v>
      </c>
      <c r="D35" s="15" t="s">
        <v>21</v>
      </c>
      <c r="E35" s="28" cm="1">
        <f t="array" ref="E35">IFERROR(_xlfn.IFS($C35="lø",TIME(0,0,0),$C35="sø",TIME(0,0,0),$D35="N",TIME(8,0,0),$D35="F",TIME(0,0,0)),"Tast i næste felt")</f>
        <v>0.33333333333333331</v>
      </c>
      <c r="F35" s="28" cm="1">
        <f t="array" ref="F35">IFERROR(_xlfn.IFS($C35="lø",TIME(0,0,0),$C35="sø",TIME(0,0,0),$D35="N",$E35+$R$6,$D35="F",TIME(0,0,0)), "Tast i næste felt")</f>
        <v>0.64166666666666661</v>
      </c>
      <c r="G35" s="28">
        <v>0</v>
      </c>
      <c r="H35" s="28">
        <v>0</v>
      </c>
      <c r="I35" s="17">
        <f t="shared" si="4"/>
        <v>0</v>
      </c>
      <c r="J35" s="31">
        <f t="shared" si="3"/>
        <v>0</v>
      </c>
    </row>
    <row r="36" spans="1:10" x14ac:dyDescent="0.25">
      <c r="B36" s="2"/>
      <c r="C36" s="1"/>
      <c r="E36" s="8"/>
      <c r="F36" s="8"/>
      <c r="I36" s="8"/>
    </row>
  </sheetData>
  <conditionalFormatting sqref="A5:H35">
    <cfRule type="expression" dxfId="4" priority="3">
      <formula>OR($C5="lø", $C5="sø")</formula>
    </cfRule>
  </conditionalFormatting>
  <conditionalFormatting sqref="E5:F35">
    <cfRule type="expression" dxfId="3" priority="6">
      <formula>$D5="F"</formula>
    </cfRule>
    <cfRule type="expression" dxfId="2" priority="7">
      <formula>AND($D5="N", NOT(OR($C5="lø", $C5="sø")))</formula>
    </cfRule>
  </conditionalFormatting>
  <conditionalFormatting sqref="G5:H35">
    <cfRule type="expression" dxfId="1" priority="2">
      <formula>OR($D5="N", $D5="F")</formula>
    </cfRule>
    <cfRule type="expression" dxfId="0" priority="5">
      <formula>$D5=""</formula>
    </cfRule>
  </conditionalFormatting>
  <dataValidations count="1">
    <dataValidation type="list" allowBlank="1" showInputMessage="1" showErrorMessage="1" sqref="D5:D9 D12:D16 D19:D23 D26:D30 D33:D35" xr:uid="{5CB6D018-E794-4D4A-AF29-EECCB2BA3E89}">
      <formula1>$L$4:$L$6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FF40F5600566343A10E1750CB575FB0" ma:contentTypeVersion="6" ma:contentTypeDescription="Opret et nyt dokument." ma:contentTypeScope="" ma:versionID="2a1ab41969b3b77c51b356210a1c6e83">
  <xsd:schema xmlns:xsd="http://www.w3.org/2001/XMLSchema" xmlns:xs="http://www.w3.org/2001/XMLSchema" xmlns:p="http://schemas.microsoft.com/office/2006/metadata/properties" xmlns:ns2="d481621c-2c56-4a5d-b371-7bbcce2ef15f" xmlns:ns3="6ac0f6f5-a6d0-4a1a-a596-810390f64f82" targetNamespace="http://schemas.microsoft.com/office/2006/metadata/properties" ma:root="true" ma:fieldsID="884b550ab2daf5c3ac393328c06893d4" ns2:_="" ns3:_="">
    <xsd:import namespace="d481621c-2c56-4a5d-b371-7bbcce2ef15f"/>
    <xsd:import namespace="6ac0f6f5-a6d0-4a1a-a596-810390f64f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81621c-2c56-4a5d-b371-7bbcce2ef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c0f6f5-a6d0-4a1a-a596-810390f64f8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2EA5A-04E0-4905-A4B1-C79E857E8986}">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6ac0f6f5-a6d0-4a1a-a596-810390f64f82"/>
    <ds:schemaRef ds:uri="d481621c-2c56-4a5d-b371-7bbcce2ef15f"/>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E63BA41-2C61-4993-B95C-26BE203FE9D2}">
  <ds:schemaRefs>
    <ds:schemaRef ds:uri="http://schemas.microsoft.com/sharepoint/v3/contenttype/forms"/>
  </ds:schemaRefs>
</ds:datastoreItem>
</file>

<file path=customXml/itemProps3.xml><?xml version="1.0" encoding="utf-8"?>
<ds:datastoreItem xmlns:ds="http://schemas.openxmlformats.org/officeDocument/2006/customXml" ds:itemID="{461C77DD-F93A-4A7A-BF76-A45545D7E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81621c-2c56-4a5d-b371-7bbcce2ef15f"/>
    <ds:schemaRef ds:uri="6ac0f6f5-a6d0-4a1a-a596-810390f64f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Masterdata</vt:lpstr>
      <vt:lpstr>Januar</vt:lpstr>
      <vt:lpstr>Februar</vt:lpstr>
      <vt:lpstr>Marts</vt:lpstr>
      <vt:lpstr>April</vt:lpstr>
      <vt:lpstr>Maj</vt:lpstr>
      <vt:lpstr>Juni</vt:lpstr>
      <vt:lpstr>July</vt:lpstr>
      <vt:lpstr>August</vt:lpstr>
      <vt:lpstr>September</vt:lpstr>
      <vt:lpstr>October</vt:lpstr>
      <vt:lpstr>November</vt:lpstr>
      <vt:lpstr>December</vt:lpstr>
      <vt:lpstr>Januar gl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Kasper Gadgaard Belling</dc:creator>
  <cp:keywords/>
  <dc:description/>
  <cp:lastModifiedBy>Kasper Gadgaard Belling</cp:lastModifiedBy>
  <cp:revision/>
  <dcterms:created xsi:type="dcterms:W3CDTF">2024-05-16T07:35:07Z</dcterms:created>
  <dcterms:modified xsi:type="dcterms:W3CDTF">2024-10-10T06:18:10Z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0x0101001FF40F5600566343A10E1750CB575FB0</vt:lpwstr>
  </property>
</Properties>
</file>