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Denne_projektmappe"/>
  <mc:AlternateContent xmlns:mc="http://schemas.openxmlformats.org/markup-compatibility/2006">
    <mc:Choice Requires="x15">
      <x15ac:absPath xmlns:x15ac="http://schemas.microsoft.com/office/spreadsheetml/2010/11/ac" url="C:\Users\au547206\Downloads\"/>
    </mc:Choice>
  </mc:AlternateContent>
  <xr:revisionPtr revIDLastSave="0" documentId="13_ncr:1_{0D731AEB-292A-45E8-8599-082453BF8924}" xr6:coauthVersionLast="47" xr6:coauthVersionMax="47" xr10:uidLastSave="{00000000-0000-0000-0000-000000000000}"/>
  <workbookProtection workbookAlgorithmName="SHA-512" workbookHashValue="krkqJLAwNfk5yxUzfod/dbhyNRSzugTOcTBxzzBEC+vGWcFML1+RLxzasOe3iDuqhwQSPrCR+QwPMQEBcY+BUA==" workbookSaltValue="XqXPDfDcAJfnBz6HQ/GJlg==" workbookSpinCount="100000" lockStructure="1"/>
  <bookViews>
    <workbookView xWindow="-108" yWindow="-108" windowWidth="30936" windowHeight="16776" tabRatio="809" xr2:uid="{6BDF1949-C92B-4F4D-98DF-DF0EE89F4FE3}"/>
  </bookViews>
  <sheets>
    <sheet name="Masterdata" sheetId="1" r:id="rId1"/>
    <sheet name="Januar" sheetId="43" r:id="rId2"/>
    <sheet name="Februar" sheetId="39" r:id="rId3"/>
    <sheet name="Marts" sheetId="51" r:id="rId4"/>
    <sheet name="April" sheetId="41" r:id="rId5"/>
    <sheet name="Maj" sheetId="42" r:id="rId6"/>
    <sheet name="Juni" sheetId="44" r:id="rId7"/>
    <sheet name="Juli" sheetId="45" r:id="rId8"/>
    <sheet name="August" sheetId="46" r:id="rId9"/>
    <sheet name="September" sheetId="47" r:id="rId10"/>
    <sheet name="Oktober" sheetId="48" r:id="rId11"/>
    <sheet name="November" sheetId="49" r:id="rId12"/>
    <sheet name="December" sheetId="50" r:id="rId13"/>
  </sheets>
  <externalReferences>
    <externalReference r:id="rId14"/>
  </externalReferences>
  <definedNames>
    <definedName name="DailyWorkDays">[1]Status!$E$12</definedName>
    <definedName name="StartCalcFrom">[1]Status!$G$3</definedName>
    <definedName name="StopCalcFrom">[1]Status!$G$4</definedName>
    <definedName name="År" localSheetId="0">Masterdata!$J$1</definedName>
    <definedName name="Årstal">Masterdata!$J$1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43" l="1"/>
  <c r="H11" i="43"/>
  <c r="H12" i="43"/>
  <c r="H13" i="43"/>
  <c r="H14" i="43"/>
  <c r="H15" i="43"/>
  <c r="H16" i="43"/>
  <c r="H17" i="43"/>
  <c r="H18" i="43"/>
  <c r="H19" i="43"/>
  <c r="H20" i="43"/>
  <c r="H21" i="43"/>
  <c r="H22" i="43"/>
  <c r="H23" i="43"/>
  <c r="H24" i="43"/>
  <c r="H25" i="43"/>
  <c r="H26" i="43"/>
  <c r="H27" i="43"/>
  <c r="H28" i="43"/>
  <c r="H29" i="43"/>
  <c r="H30" i="43"/>
  <c r="H31" i="43"/>
  <c r="H32" i="43"/>
  <c r="H33" i="43"/>
  <c r="H34" i="43"/>
  <c r="H35" i="43"/>
  <c r="H36" i="43"/>
  <c r="H37" i="43"/>
  <c r="H38" i="43"/>
  <c r="H39" i="43"/>
  <c r="H9" i="43"/>
  <c r="H10" i="50"/>
  <c r="H11" i="50"/>
  <c r="H12" i="50"/>
  <c r="H13" i="50"/>
  <c r="H14" i="50"/>
  <c r="H15" i="50"/>
  <c r="H16" i="50"/>
  <c r="H17" i="50"/>
  <c r="H18" i="50"/>
  <c r="H19" i="50"/>
  <c r="H20" i="50"/>
  <c r="H21" i="50"/>
  <c r="H22" i="50"/>
  <c r="H23" i="50"/>
  <c r="H24" i="50"/>
  <c r="H25" i="50"/>
  <c r="H26" i="50"/>
  <c r="H27" i="50"/>
  <c r="H28" i="50"/>
  <c r="H29" i="50"/>
  <c r="H30" i="50"/>
  <c r="H31" i="50"/>
  <c r="H32" i="50"/>
  <c r="H33" i="50"/>
  <c r="H34" i="50"/>
  <c r="H35" i="50"/>
  <c r="H36" i="50"/>
  <c r="H37" i="50"/>
  <c r="H38" i="50"/>
  <c r="H39" i="50"/>
  <c r="H9" i="50"/>
  <c r="H10" i="49"/>
  <c r="H11" i="49"/>
  <c r="H12" i="49"/>
  <c r="H13" i="49"/>
  <c r="H14" i="49"/>
  <c r="H15" i="49"/>
  <c r="H16" i="49"/>
  <c r="H17" i="49"/>
  <c r="H18" i="49"/>
  <c r="H19" i="49"/>
  <c r="H20" i="49"/>
  <c r="H21" i="49"/>
  <c r="H22" i="49"/>
  <c r="H23" i="49"/>
  <c r="H24" i="49"/>
  <c r="H25" i="49"/>
  <c r="H26" i="49"/>
  <c r="H27" i="49"/>
  <c r="H28" i="49"/>
  <c r="H29" i="49"/>
  <c r="H30" i="49"/>
  <c r="H31" i="49"/>
  <c r="H32" i="49"/>
  <c r="H33" i="49"/>
  <c r="H34" i="49"/>
  <c r="H35" i="49"/>
  <c r="H36" i="49"/>
  <c r="H37" i="49"/>
  <c r="H38" i="49"/>
  <c r="H9" i="49"/>
  <c r="H10" i="48"/>
  <c r="H11" i="48"/>
  <c r="H12" i="48"/>
  <c r="H13" i="48"/>
  <c r="H14" i="48"/>
  <c r="H15" i="48"/>
  <c r="H16" i="48"/>
  <c r="H17" i="48"/>
  <c r="H18" i="48"/>
  <c r="H19" i="48"/>
  <c r="H20" i="48"/>
  <c r="H21" i="48"/>
  <c r="H22" i="48"/>
  <c r="H23" i="48"/>
  <c r="H24" i="48"/>
  <c r="H25" i="48"/>
  <c r="H26" i="48"/>
  <c r="H27" i="48"/>
  <c r="H28" i="48"/>
  <c r="H29" i="48"/>
  <c r="H30" i="48"/>
  <c r="H31" i="48"/>
  <c r="H32" i="48"/>
  <c r="H33" i="48"/>
  <c r="H34" i="48"/>
  <c r="H35" i="48"/>
  <c r="H36" i="48"/>
  <c r="H37" i="48"/>
  <c r="H38" i="48"/>
  <c r="H39" i="48"/>
  <c r="H9" i="48"/>
  <c r="H10" i="47"/>
  <c r="H11" i="47"/>
  <c r="H12" i="47"/>
  <c r="H13" i="47"/>
  <c r="H14" i="47"/>
  <c r="H15" i="47"/>
  <c r="H16" i="47"/>
  <c r="H17" i="47"/>
  <c r="H18" i="47"/>
  <c r="H19" i="47"/>
  <c r="H20" i="47"/>
  <c r="H21" i="47"/>
  <c r="H22" i="47"/>
  <c r="H23" i="47"/>
  <c r="H24" i="47"/>
  <c r="H25" i="47"/>
  <c r="H26" i="47"/>
  <c r="H27" i="47"/>
  <c r="H28" i="47"/>
  <c r="H29" i="47"/>
  <c r="H30" i="47"/>
  <c r="H31" i="47"/>
  <c r="H32" i="47"/>
  <c r="H33" i="47"/>
  <c r="H34" i="47"/>
  <c r="H35" i="47"/>
  <c r="H36" i="47"/>
  <c r="H37" i="47"/>
  <c r="H38" i="47"/>
  <c r="H9" i="47"/>
  <c r="H10" i="46"/>
  <c r="H11" i="46"/>
  <c r="H12" i="46"/>
  <c r="H13" i="46"/>
  <c r="H14" i="46"/>
  <c r="H15" i="46"/>
  <c r="H16" i="46"/>
  <c r="H17" i="46"/>
  <c r="H18" i="46"/>
  <c r="H19" i="46"/>
  <c r="H20" i="46"/>
  <c r="H21" i="46"/>
  <c r="H22" i="46"/>
  <c r="H23" i="46"/>
  <c r="H24" i="46"/>
  <c r="H25" i="46"/>
  <c r="H26" i="46"/>
  <c r="H27" i="46"/>
  <c r="H28" i="46"/>
  <c r="H29" i="46"/>
  <c r="H30" i="46"/>
  <c r="H31" i="46"/>
  <c r="H32" i="46"/>
  <c r="H33" i="46"/>
  <c r="H34" i="46"/>
  <c r="H35" i="46"/>
  <c r="H36" i="46"/>
  <c r="H37" i="46"/>
  <c r="H38" i="46"/>
  <c r="H39" i="46"/>
  <c r="H9" i="46"/>
  <c r="H10" i="45"/>
  <c r="H11" i="45"/>
  <c r="H12" i="45"/>
  <c r="H13" i="45"/>
  <c r="H14" i="45"/>
  <c r="H15" i="45"/>
  <c r="H16" i="45"/>
  <c r="H17" i="45"/>
  <c r="H18" i="45"/>
  <c r="H19" i="45"/>
  <c r="H20" i="45"/>
  <c r="H21" i="45"/>
  <c r="H22" i="45"/>
  <c r="H23" i="45"/>
  <c r="H24" i="45"/>
  <c r="H25" i="45"/>
  <c r="H26" i="45"/>
  <c r="H27" i="45"/>
  <c r="H28" i="45"/>
  <c r="H29" i="45"/>
  <c r="H30" i="45"/>
  <c r="H31" i="45"/>
  <c r="H32" i="45"/>
  <c r="H33" i="45"/>
  <c r="H34" i="45"/>
  <c r="H35" i="45"/>
  <c r="H36" i="45"/>
  <c r="H37" i="45"/>
  <c r="H38" i="45"/>
  <c r="H39" i="45"/>
  <c r="H9" i="45"/>
  <c r="H10" i="44"/>
  <c r="H11" i="44"/>
  <c r="H12" i="44"/>
  <c r="H13" i="44"/>
  <c r="H14" i="44"/>
  <c r="H15" i="44"/>
  <c r="H16" i="44"/>
  <c r="H17" i="44"/>
  <c r="H18" i="44"/>
  <c r="H19" i="44"/>
  <c r="H20" i="44"/>
  <c r="H21" i="44"/>
  <c r="H22" i="44"/>
  <c r="H23" i="44"/>
  <c r="H24" i="44"/>
  <c r="H25" i="44"/>
  <c r="H26" i="44"/>
  <c r="H27" i="44"/>
  <c r="H28" i="44"/>
  <c r="H29" i="44"/>
  <c r="H30" i="44"/>
  <c r="H31" i="44"/>
  <c r="H32" i="44"/>
  <c r="H33" i="44"/>
  <c r="H34" i="44"/>
  <c r="H35" i="44"/>
  <c r="H36" i="44"/>
  <c r="H37" i="44"/>
  <c r="H38" i="44"/>
  <c r="H9" i="44"/>
  <c r="H10" i="42"/>
  <c r="H11" i="42"/>
  <c r="H12" i="42"/>
  <c r="H13" i="42"/>
  <c r="H14" i="42"/>
  <c r="H15" i="42"/>
  <c r="H16" i="42"/>
  <c r="H17" i="42"/>
  <c r="H18" i="42"/>
  <c r="H19" i="42"/>
  <c r="H20" i="42"/>
  <c r="H21" i="42"/>
  <c r="H22" i="42"/>
  <c r="H23" i="42"/>
  <c r="H24" i="42"/>
  <c r="H25" i="42"/>
  <c r="H26" i="42"/>
  <c r="H27" i="42"/>
  <c r="H28" i="42"/>
  <c r="H29" i="42"/>
  <c r="H30" i="42"/>
  <c r="H31" i="42"/>
  <c r="H32" i="42"/>
  <c r="H33" i="42"/>
  <c r="H34" i="42"/>
  <c r="H35" i="42"/>
  <c r="H36" i="42"/>
  <c r="H37" i="42"/>
  <c r="H38" i="42"/>
  <c r="H39" i="42"/>
  <c r="H9" i="42"/>
  <c r="H10" i="51"/>
  <c r="H11" i="51"/>
  <c r="H12" i="51"/>
  <c r="H13" i="51"/>
  <c r="H14" i="51"/>
  <c r="H15" i="51"/>
  <c r="H16" i="51"/>
  <c r="H17" i="51"/>
  <c r="H18" i="51"/>
  <c r="H19" i="51"/>
  <c r="H20" i="51"/>
  <c r="H21" i="51"/>
  <c r="H22" i="51"/>
  <c r="H23" i="51"/>
  <c r="H24" i="51"/>
  <c r="H25" i="51"/>
  <c r="H26" i="51"/>
  <c r="H27" i="51"/>
  <c r="H28" i="51"/>
  <c r="H29" i="51"/>
  <c r="H30" i="51"/>
  <c r="H31" i="51"/>
  <c r="H32" i="51"/>
  <c r="H33" i="51"/>
  <c r="H34" i="51"/>
  <c r="H35" i="51"/>
  <c r="H36" i="51"/>
  <c r="H37" i="51"/>
  <c r="H38" i="51"/>
  <c r="H39" i="51"/>
  <c r="H9" i="51"/>
  <c r="H10" i="39"/>
  <c r="H11" i="39"/>
  <c r="H12" i="39"/>
  <c r="H13" i="39"/>
  <c r="H14" i="39"/>
  <c r="H15" i="39"/>
  <c r="H16" i="39"/>
  <c r="H17" i="39"/>
  <c r="H18" i="39"/>
  <c r="H19" i="39"/>
  <c r="H20" i="39"/>
  <c r="H21" i="39"/>
  <c r="H22" i="39"/>
  <c r="H23" i="39"/>
  <c r="H24" i="39"/>
  <c r="H25" i="39"/>
  <c r="H26" i="39"/>
  <c r="H27" i="39"/>
  <c r="H28" i="39"/>
  <c r="H29" i="39"/>
  <c r="H30" i="39"/>
  <c r="H31" i="39"/>
  <c r="H32" i="39"/>
  <c r="H33" i="39"/>
  <c r="H34" i="39"/>
  <c r="H35" i="39"/>
  <c r="H36" i="39"/>
  <c r="H37" i="39"/>
  <c r="H9" i="39"/>
  <c r="H10" i="41"/>
  <c r="H11" i="41"/>
  <c r="H12" i="41"/>
  <c r="H13" i="41"/>
  <c r="H14" i="41"/>
  <c r="H15" i="41"/>
  <c r="H16" i="41"/>
  <c r="H17" i="41"/>
  <c r="H18" i="41"/>
  <c r="H19" i="41"/>
  <c r="H20" i="41"/>
  <c r="H21" i="41"/>
  <c r="H22" i="41"/>
  <c r="H23" i="41"/>
  <c r="H24" i="41"/>
  <c r="H25" i="41"/>
  <c r="H26" i="41"/>
  <c r="H27" i="41"/>
  <c r="H28" i="41"/>
  <c r="H29" i="41"/>
  <c r="H30" i="41"/>
  <c r="H31" i="41"/>
  <c r="H32" i="41"/>
  <c r="H33" i="41"/>
  <c r="H34" i="41"/>
  <c r="H35" i="41"/>
  <c r="H36" i="41"/>
  <c r="H37" i="41"/>
  <c r="H38" i="41"/>
  <c r="H9" i="41"/>
  <c r="C9" i="41" a="1"/>
  <c r="C9" i="41" s="1"/>
  <c r="AJ8" i="1"/>
  <c r="AU6" i="1"/>
  <c r="B9" i="43"/>
  <c r="B6" i="43" s="1"/>
  <c r="A15" i="1" s="1"/>
  <c r="B26" i="1"/>
  <c r="B25" i="1"/>
  <c r="B24" i="1"/>
  <c r="B23" i="1"/>
  <c r="B22" i="1"/>
  <c r="A26" i="1"/>
  <c r="B21" i="1"/>
  <c r="B20" i="1"/>
  <c r="B17" i="1"/>
  <c r="M34" i="50"/>
  <c r="N34" i="50" s="1"/>
  <c r="M35" i="50"/>
  <c r="N35" i="50" s="1"/>
  <c r="M36" i="50"/>
  <c r="N36" i="50" s="1"/>
  <c r="M37" i="50"/>
  <c r="N37" i="50" s="1"/>
  <c r="M38" i="50"/>
  <c r="N38" i="50" s="1"/>
  <c r="M39" i="50"/>
  <c r="N39" i="50" s="1"/>
  <c r="B9" i="50"/>
  <c r="B6" i="50" s="1"/>
  <c r="B9" i="49"/>
  <c r="A9" i="49" s="1"/>
  <c r="M34" i="48"/>
  <c r="N34" i="48" s="1"/>
  <c r="M35" i="48"/>
  <c r="N35" i="48" s="1"/>
  <c r="M36" i="48"/>
  <c r="N36" i="48" s="1"/>
  <c r="M37" i="48"/>
  <c r="N37" i="48" s="1"/>
  <c r="M38" i="48"/>
  <c r="N38" i="48" s="1"/>
  <c r="M39" i="48"/>
  <c r="N39" i="48" s="1"/>
  <c r="B9" i="48"/>
  <c r="D9" i="48" s="1"/>
  <c r="B9" i="47"/>
  <c r="B10" i="47" s="1"/>
  <c r="M36" i="46"/>
  <c r="N36" i="46" s="1"/>
  <c r="O36" i="46" s="1"/>
  <c r="M37" i="46"/>
  <c r="N37" i="46" s="1"/>
  <c r="O37" i="46" s="1"/>
  <c r="M38" i="46"/>
  <c r="N38" i="46" s="1"/>
  <c r="O38" i="46" s="1"/>
  <c r="M39" i="46"/>
  <c r="N39" i="46" s="1"/>
  <c r="O39" i="46" s="1"/>
  <c r="B9" i="46"/>
  <c r="A9" i="46" s="1"/>
  <c r="B9" i="45"/>
  <c r="A9" i="45" s="1"/>
  <c r="B9" i="44"/>
  <c r="A9" i="44" s="1"/>
  <c r="M37" i="45"/>
  <c r="N37" i="45" s="1"/>
  <c r="P37" i="45" s="1"/>
  <c r="Q37" i="45" s="1"/>
  <c r="M38" i="45"/>
  <c r="N38" i="45" s="1"/>
  <c r="M39" i="45"/>
  <c r="N39" i="45" s="1"/>
  <c r="P39" i="45" s="1"/>
  <c r="Q39" i="45" s="1"/>
  <c r="M37" i="43"/>
  <c r="N37" i="43" s="1"/>
  <c r="M38" i="43"/>
  <c r="N38" i="43" s="1"/>
  <c r="M39" i="43"/>
  <c r="N39" i="43" s="1"/>
  <c r="M38" i="51"/>
  <c r="N38" i="51" s="1"/>
  <c r="M39" i="51"/>
  <c r="N39" i="51" s="1"/>
  <c r="P39" i="51" s="1"/>
  <c r="Q39" i="51" s="1"/>
  <c r="B9" i="51"/>
  <c r="E9" i="51" s="1"/>
  <c r="B15" i="1"/>
  <c r="M37" i="51"/>
  <c r="N37" i="51" s="1"/>
  <c r="M36" i="51"/>
  <c r="N36" i="51" s="1"/>
  <c r="M35" i="51"/>
  <c r="N35" i="51" s="1"/>
  <c r="M34" i="51"/>
  <c r="N34" i="51" s="1"/>
  <c r="M33" i="51"/>
  <c r="N33" i="51" s="1"/>
  <c r="M32" i="51"/>
  <c r="N32" i="51" s="1"/>
  <c r="M31" i="51"/>
  <c r="N31" i="51" s="1"/>
  <c r="M30" i="51"/>
  <c r="N30" i="51" s="1"/>
  <c r="M29" i="51"/>
  <c r="N29" i="51" s="1"/>
  <c r="M28" i="51"/>
  <c r="N28" i="51" s="1"/>
  <c r="M27" i="51"/>
  <c r="N27" i="51" s="1"/>
  <c r="M26" i="51"/>
  <c r="N26" i="51" s="1"/>
  <c r="M25" i="51"/>
  <c r="N25" i="51" s="1"/>
  <c r="M24" i="51"/>
  <c r="N24" i="51" s="1"/>
  <c r="M23" i="51"/>
  <c r="N23" i="51" s="1"/>
  <c r="M22" i="51"/>
  <c r="N22" i="51" s="1"/>
  <c r="M21" i="51"/>
  <c r="N21" i="51" s="1"/>
  <c r="M20" i="51"/>
  <c r="N20" i="51" s="1"/>
  <c r="M19" i="51"/>
  <c r="N19" i="51" s="1"/>
  <c r="M18" i="51"/>
  <c r="N18" i="51" s="1"/>
  <c r="X17" i="51"/>
  <c r="M17" i="51"/>
  <c r="N17" i="51" s="1"/>
  <c r="O17" i="51" s="1"/>
  <c r="M16" i="51"/>
  <c r="N16" i="51" s="1"/>
  <c r="M15" i="51"/>
  <c r="N15" i="51" s="1"/>
  <c r="P15" i="51" s="1"/>
  <c r="Q15" i="51" s="1"/>
  <c r="M14" i="51"/>
  <c r="N14" i="51" s="1"/>
  <c r="M13" i="51"/>
  <c r="N13" i="51" s="1"/>
  <c r="P13" i="51" s="1"/>
  <c r="Q13" i="51" s="1"/>
  <c r="M12" i="51"/>
  <c r="N12" i="51" s="1"/>
  <c r="X11" i="51"/>
  <c r="X16" i="51" s="1"/>
  <c r="X18" i="51" s="1"/>
  <c r="M10" i="51"/>
  <c r="N10" i="51" s="1"/>
  <c r="X9" i="51"/>
  <c r="X10" i="51" s="1"/>
  <c r="M9" i="51"/>
  <c r="N9" i="51" s="1"/>
  <c r="X7" i="51"/>
  <c r="B5" i="51"/>
  <c r="M33" i="50"/>
  <c r="N33" i="50" s="1"/>
  <c r="M32" i="50"/>
  <c r="N32" i="50" s="1"/>
  <c r="M31" i="50"/>
  <c r="N31" i="50" s="1"/>
  <c r="M30" i="50"/>
  <c r="N30" i="50" s="1"/>
  <c r="M29" i="50"/>
  <c r="N29" i="50" s="1"/>
  <c r="M28" i="50"/>
  <c r="N28" i="50" s="1"/>
  <c r="M27" i="50"/>
  <c r="N27" i="50" s="1"/>
  <c r="M26" i="50"/>
  <c r="N26" i="50" s="1"/>
  <c r="M25" i="50"/>
  <c r="N25" i="50" s="1"/>
  <c r="M24" i="50"/>
  <c r="N24" i="50" s="1"/>
  <c r="M23" i="50"/>
  <c r="N23" i="50" s="1"/>
  <c r="M22" i="50"/>
  <c r="N22" i="50" s="1"/>
  <c r="M21" i="50"/>
  <c r="N21" i="50" s="1"/>
  <c r="M20" i="50"/>
  <c r="N20" i="50" s="1"/>
  <c r="M19" i="50"/>
  <c r="N19" i="50" s="1"/>
  <c r="M18" i="50"/>
  <c r="N18" i="50" s="1"/>
  <c r="X17" i="50"/>
  <c r="M17" i="50"/>
  <c r="N17" i="50" s="1"/>
  <c r="O17" i="50" s="1"/>
  <c r="M16" i="50"/>
  <c r="N16" i="50" s="1"/>
  <c r="M15" i="50"/>
  <c r="N15" i="50" s="1"/>
  <c r="M14" i="50"/>
  <c r="N14" i="50" s="1"/>
  <c r="M13" i="50"/>
  <c r="N13" i="50" s="1"/>
  <c r="M12" i="50"/>
  <c r="N12" i="50" s="1"/>
  <c r="X11" i="50"/>
  <c r="X16" i="50" s="1"/>
  <c r="X18" i="50" s="1"/>
  <c r="M11" i="50"/>
  <c r="N11" i="50" s="1"/>
  <c r="O11" i="50" s="1"/>
  <c r="M10" i="50"/>
  <c r="N10" i="50" s="1"/>
  <c r="X9" i="50"/>
  <c r="X10" i="50" s="1"/>
  <c r="X7" i="50"/>
  <c r="B5" i="50"/>
  <c r="M38" i="49"/>
  <c r="N38" i="49" s="1"/>
  <c r="M37" i="49"/>
  <c r="N37" i="49" s="1"/>
  <c r="M36" i="49"/>
  <c r="N36" i="49" s="1"/>
  <c r="M35" i="49"/>
  <c r="N35" i="49" s="1"/>
  <c r="M34" i="49"/>
  <c r="N34" i="49" s="1"/>
  <c r="M33" i="49"/>
  <c r="N33" i="49" s="1"/>
  <c r="M32" i="49"/>
  <c r="N32" i="49" s="1"/>
  <c r="M31" i="49"/>
  <c r="N31" i="49" s="1"/>
  <c r="M30" i="49"/>
  <c r="N30" i="49" s="1"/>
  <c r="M29" i="49"/>
  <c r="N29" i="49" s="1"/>
  <c r="M28" i="49"/>
  <c r="N28" i="49" s="1"/>
  <c r="M27" i="49"/>
  <c r="N27" i="49" s="1"/>
  <c r="M26" i="49"/>
  <c r="N26" i="49" s="1"/>
  <c r="M25" i="49"/>
  <c r="N25" i="49" s="1"/>
  <c r="M24" i="49"/>
  <c r="N24" i="49" s="1"/>
  <c r="M23" i="49"/>
  <c r="N23" i="49" s="1"/>
  <c r="M22" i="49"/>
  <c r="N22" i="49" s="1"/>
  <c r="M21" i="49"/>
  <c r="N21" i="49" s="1"/>
  <c r="M20" i="49"/>
  <c r="N20" i="49" s="1"/>
  <c r="M19" i="49"/>
  <c r="N19" i="49" s="1"/>
  <c r="M18" i="49"/>
  <c r="N18" i="49" s="1"/>
  <c r="X17" i="49"/>
  <c r="M17" i="49"/>
  <c r="N17" i="49" s="1"/>
  <c r="O17" i="49" s="1"/>
  <c r="M16" i="49"/>
  <c r="N16" i="49" s="1"/>
  <c r="M15" i="49"/>
  <c r="N15" i="49" s="1"/>
  <c r="P15" i="49" s="1"/>
  <c r="Q15" i="49" s="1"/>
  <c r="M14" i="49"/>
  <c r="N14" i="49" s="1"/>
  <c r="M13" i="49"/>
  <c r="N13" i="49" s="1"/>
  <c r="P13" i="49" s="1"/>
  <c r="Q13" i="49" s="1"/>
  <c r="M12" i="49"/>
  <c r="N12" i="49" s="1"/>
  <c r="X11" i="49"/>
  <c r="X16" i="49" s="1"/>
  <c r="X18" i="49" s="1"/>
  <c r="M11" i="49"/>
  <c r="N11" i="49" s="1"/>
  <c r="M10" i="49"/>
  <c r="N10" i="49" s="1"/>
  <c r="X9" i="49"/>
  <c r="X10" i="49" s="1"/>
  <c r="M9" i="49"/>
  <c r="N9" i="49" s="1"/>
  <c r="X7" i="49"/>
  <c r="B5" i="49"/>
  <c r="M33" i="48"/>
  <c r="N33" i="48" s="1"/>
  <c r="M32" i="48"/>
  <c r="N32" i="48" s="1"/>
  <c r="M31" i="48"/>
  <c r="N31" i="48" s="1"/>
  <c r="M30" i="48"/>
  <c r="N30" i="48" s="1"/>
  <c r="M29" i="48"/>
  <c r="N29" i="48" s="1"/>
  <c r="M28" i="48"/>
  <c r="N28" i="48" s="1"/>
  <c r="M27" i="48"/>
  <c r="N27" i="48" s="1"/>
  <c r="M26" i="48"/>
  <c r="N26" i="48" s="1"/>
  <c r="M25" i="48"/>
  <c r="N25" i="48" s="1"/>
  <c r="M24" i="48"/>
  <c r="N24" i="48" s="1"/>
  <c r="M23" i="48"/>
  <c r="N23" i="48" s="1"/>
  <c r="M22" i="48"/>
  <c r="N22" i="48" s="1"/>
  <c r="M21" i="48"/>
  <c r="N21" i="48" s="1"/>
  <c r="M20" i="48"/>
  <c r="N20" i="48" s="1"/>
  <c r="M19" i="48"/>
  <c r="N19" i="48" s="1"/>
  <c r="M18" i="48"/>
  <c r="N18" i="48" s="1"/>
  <c r="X17" i="48"/>
  <c r="M17" i="48"/>
  <c r="N17" i="48" s="1"/>
  <c r="M16" i="48"/>
  <c r="N16" i="48" s="1"/>
  <c r="M15" i="48"/>
  <c r="N15" i="48" s="1"/>
  <c r="M14" i="48"/>
  <c r="N14" i="48" s="1"/>
  <c r="M13" i="48"/>
  <c r="N13" i="48" s="1"/>
  <c r="M12" i="48"/>
  <c r="N12" i="48" s="1"/>
  <c r="X11" i="48"/>
  <c r="X16" i="48" s="1"/>
  <c r="M11" i="48"/>
  <c r="N11" i="48" s="1"/>
  <c r="M10" i="48"/>
  <c r="N10" i="48" s="1"/>
  <c r="X9" i="48"/>
  <c r="X10" i="48" s="1"/>
  <c r="X7" i="48"/>
  <c r="B5" i="48"/>
  <c r="M38" i="47"/>
  <c r="N38" i="47" s="1"/>
  <c r="M37" i="47"/>
  <c r="N37" i="47" s="1"/>
  <c r="M36" i="47"/>
  <c r="N36" i="47" s="1"/>
  <c r="M35" i="47"/>
  <c r="N35" i="47" s="1"/>
  <c r="M34" i="47"/>
  <c r="N34" i="47" s="1"/>
  <c r="M33" i="47"/>
  <c r="N33" i="47" s="1"/>
  <c r="M32" i="47"/>
  <c r="N32" i="47" s="1"/>
  <c r="M31" i="47"/>
  <c r="N31" i="47" s="1"/>
  <c r="M30" i="47"/>
  <c r="N30" i="47" s="1"/>
  <c r="M29" i="47"/>
  <c r="N29" i="47" s="1"/>
  <c r="M28" i="47"/>
  <c r="N28" i="47" s="1"/>
  <c r="M27" i="47"/>
  <c r="N27" i="47" s="1"/>
  <c r="M26" i="47"/>
  <c r="N26" i="47" s="1"/>
  <c r="M25" i="47"/>
  <c r="N25" i="47" s="1"/>
  <c r="M24" i="47"/>
  <c r="N24" i="47" s="1"/>
  <c r="M23" i="47"/>
  <c r="N23" i="47" s="1"/>
  <c r="M22" i="47"/>
  <c r="N22" i="47" s="1"/>
  <c r="M21" i="47"/>
  <c r="N21" i="47" s="1"/>
  <c r="M20" i="47"/>
  <c r="N20" i="47" s="1"/>
  <c r="M19" i="47"/>
  <c r="N19" i="47" s="1"/>
  <c r="M18" i="47"/>
  <c r="N18" i="47" s="1"/>
  <c r="P18" i="47" s="1"/>
  <c r="Q18" i="47" s="1"/>
  <c r="X17" i="47"/>
  <c r="M17" i="47"/>
  <c r="N17" i="47" s="1"/>
  <c r="M16" i="47"/>
  <c r="N16" i="47" s="1"/>
  <c r="O16" i="47" s="1"/>
  <c r="M15" i="47"/>
  <c r="N15" i="47" s="1"/>
  <c r="P15" i="47" s="1"/>
  <c r="Q15" i="47" s="1"/>
  <c r="M14" i="47"/>
  <c r="N14" i="47" s="1"/>
  <c r="P14" i="47" s="1"/>
  <c r="Q14" i="47" s="1"/>
  <c r="M13" i="47"/>
  <c r="N13" i="47" s="1"/>
  <c r="P13" i="47" s="1"/>
  <c r="Q13" i="47" s="1"/>
  <c r="M12" i="47"/>
  <c r="N12" i="47" s="1"/>
  <c r="P12" i="47" s="1"/>
  <c r="Q12" i="47" s="1"/>
  <c r="X11" i="47"/>
  <c r="X16" i="47" s="1"/>
  <c r="X18" i="47" s="1"/>
  <c r="M11" i="47"/>
  <c r="N11" i="47" s="1"/>
  <c r="P11" i="47" s="1"/>
  <c r="Q11" i="47" s="1"/>
  <c r="M10" i="47"/>
  <c r="N10" i="47" s="1"/>
  <c r="P10" i="47" s="1"/>
  <c r="Q10" i="47" s="1"/>
  <c r="X9" i="47"/>
  <c r="X10" i="47" s="1"/>
  <c r="X7" i="47"/>
  <c r="B5" i="47"/>
  <c r="M35" i="46"/>
  <c r="N35" i="46" s="1"/>
  <c r="M34" i="46"/>
  <c r="N34" i="46" s="1"/>
  <c r="M33" i="46"/>
  <c r="N33" i="46" s="1"/>
  <c r="M32" i="46"/>
  <c r="N32" i="46" s="1"/>
  <c r="M31" i="46"/>
  <c r="N31" i="46" s="1"/>
  <c r="M30" i="46"/>
  <c r="N30" i="46" s="1"/>
  <c r="M29" i="46"/>
  <c r="N29" i="46" s="1"/>
  <c r="M28" i="46"/>
  <c r="N28" i="46" s="1"/>
  <c r="M27" i="46"/>
  <c r="N27" i="46" s="1"/>
  <c r="M26" i="46"/>
  <c r="N26" i="46" s="1"/>
  <c r="M25" i="46"/>
  <c r="N25" i="46" s="1"/>
  <c r="M24" i="46"/>
  <c r="N24" i="46" s="1"/>
  <c r="M23" i="46"/>
  <c r="N23" i="46" s="1"/>
  <c r="M22" i="46"/>
  <c r="N22" i="46" s="1"/>
  <c r="M21" i="46"/>
  <c r="N21" i="46" s="1"/>
  <c r="M20" i="46"/>
  <c r="N20" i="46" s="1"/>
  <c r="M19" i="46"/>
  <c r="N19" i="46" s="1"/>
  <c r="M18" i="46"/>
  <c r="N18" i="46" s="1"/>
  <c r="X17" i="46"/>
  <c r="M17" i="46"/>
  <c r="N17" i="46" s="1"/>
  <c r="M16" i="46"/>
  <c r="N16" i="46" s="1"/>
  <c r="M15" i="46"/>
  <c r="N15" i="46" s="1"/>
  <c r="M14" i="46"/>
  <c r="N14" i="46" s="1"/>
  <c r="M13" i="46"/>
  <c r="N13" i="46" s="1"/>
  <c r="M12" i="46"/>
  <c r="N12" i="46" s="1"/>
  <c r="X11" i="46"/>
  <c r="X16" i="46" s="1"/>
  <c r="M11" i="46"/>
  <c r="N11" i="46" s="1"/>
  <c r="M10" i="46"/>
  <c r="N10" i="46" s="1"/>
  <c r="P10" i="46" s="1"/>
  <c r="Q10" i="46" s="1"/>
  <c r="X9" i="46"/>
  <c r="X10" i="46" s="1"/>
  <c r="X7" i="46"/>
  <c r="B5" i="46"/>
  <c r="M36" i="45"/>
  <c r="N36" i="45" s="1"/>
  <c r="M35" i="45"/>
  <c r="N35" i="45" s="1"/>
  <c r="M34" i="45"/>
  <c r="N34" i="45" s="1"/>
  <c r="M33" i="45"/>
  <c r="N33" i="45" s="1"/>
  <c r="M32" i="45"/>
  <c r="N32" i="45" s="1"/>
  <c r="M31" i="45"/>
  <c r="N31" i="45" s="1"/>
  <c r="M30" i="45"/>
  <c r="N30" i="45" s="1"/>
  <c r="M29" i="45"/>
  <c r="N29" i="45" s="1"/>
  <c r="M28" i="45"/>
  <c r="N28" i="45" s="1"/>
  <c r="M27" i="45"/>
  <c r="N27" i="45" s="1"/>
  <c r="M26" i="45"/>
  <c r="N26" i="45" s="1"/>
  <c r="M25" i="45"/>
  <c r="N25" i="45" s="1"/>
  <c r="M24" i="45"/>
  <c r="N24" i="45" s="1"/>
  <c r="M23" i="45"/>
  <c r="N23" i="45" s="1"/>
  <c r="M22" i="45"/>
  <c r="N22" i="45" s="1"/>
  <c r="M21" i="45"/>
  <c r="N21" i="45" s="1"/>
  <c r="M20" i="45"/>
  <c r="N20" i="45" s="1"/>
  <c r="M19" i="45"/>
  <c r="N19" i="45" s="1"/>
  <c r="X17" i="45"/>
  <c r="M17" i="45"/>
  <c r="N17" i="45" s="1"/>
  <c r="M16" i="45"/>
  <c r="N16" i="45" s="1"/>
  <c r="M15" i="45"/>
  <c r="N15" i="45" s="1"/>
  <c r="P15" i="45" s="1"/>
  <c r="Q15" i="45" s="1"/>
  <c r="M14" i="45"/>
  <c r="N14" i="45" s="1"/>
  <c r="M13" i="45"/>
  <c r="N13" i="45" s="1"/>
  <c r="M12" i="45"/>
  <c r="N12" i="45" s="1"/>
  <c r="X11" i="45"/>
  <c r="X16" i="45" s="1"/>
  <c r="X18" i="45" s="1"/>
  <c r="M11" i="45"/>
  <c r="N11" i="45" s="1"/>
  <c r="O11" i="45" s="1"/>
  <c r="M10" i="45"/>
  <c r="N10" i="45" s="1"/>
  <c r="X9" i="45"/>
  <c r="X10" i="45" s="1"/>
  <c r="X7" i="45"/>
  <c r="B5" i="45"/>
  <c r="M38" i="44"/>
  <c r="N38" i="44" s="1"/>
  <c r="M37" i="44"/>
  <c r="N37" i="44" s="1"/>
  <c r="M36" i="44"/>
  <c r="N36" i="44" s="1"/>
  <c r="M35" i="44"/>
  <c r="N35" i="44" s="1"/>
  <c r="M34" i="44"/>
  <c r="N34" i="44" s="1"/>
  <c r="M33" i="44"/>
  <c r="N33" i="44" s="1"/>
  <c r="M32" i="44"/>
  <c r="N32" i="44" s="1"/>
  <c r="M31" i="44"/>
  <c r="N31" i="44" s="1"/>
  <c r="M30" i="44"/>
  <c r="N30" i="44" s="1"/>
  <c r="M29" i="44"/>
  <c r="N29" i="44" s="1"/>
  <c r="M28" i="44"/>
  <c r="N28" i="44" s="1"/>
  <c r="M27" i="44"/>
  <c r="N27" i="44" s="1"/>
  <c r="M26" i="44"/>
  <c r="N26" i="44" s="1"/>
  <c r="M25" i="44"/>
  <c r="N25" i="44" s="1"/>
  <c r="M24" i="44"/>
  <c r="N24" i="44" s="1"/>
  <c r="M23" i="44"/>
  <c r="N23" i="44" s="1"/>
  <c r="M22" i="44"/>
  <c r="N22" i="44" s="1"/>
  <c r="M21" i="44"/>
  <c r="N21" i="44" s="1"/>
  <c r="M20" i="44"/>
  <c r="N20" i="44" s="1"/>
  <c r="M19" i="44"/>
  <c r="N19" i="44" s="1"/>
  <c r="M18" i="44"/>
  <c r="N18" i="44" s="1"/>
  <c r="X17" i="44"/>
  <c r="M17" i="44"/>
  <c r="N17" i="44" s="1"/>
  <c r="M16" i="44"/>
  <c r="N16" i="44" s="1"/>
  <c r="M15" i="44"/>
  <c r="N15" i="44" s="1"/>
  <c r="M14" i="44"/>
  <c r="N14" i="44" s="1"/>
  <c r="P14" i="44" s="1"/>
  <c r="Q14" i="44" s="1"/>
  <c r="M13" i="44"/>
  <c r="N13" i="44" s="1"/>
  <c r="M12" i="44"/>
  <c r="N12" i="44" s="1"/>
  <c r="P12" i="44" s="1"/>
  <c r="Q12" i="44" s="1"/>
  <c r="X11" i="44"/>
  <c r="X16" i="44" s="1"/>
  <c r="X18" i="44" s="1"/>
  <c r="M11" i="44"/>
  <c r="N11" i="44" s="1"/>
  <c r="P11" i="44" s="1"/>
  <c r="Q11" i="44" s="1"/>
  <c r="M10" i="44"/>
  <c r="N10" i="44" s="1"/>
  <c r="X9" i="44"/>
  <c r="X10" i="44" s="1"/>
  <c r="M9" i="44"/>
  <c r="N9" i="44" s="1"/>
  <c r="P9" i="44" s="1"/>
  <c r="Q9" i="44" s="1"/>
  <c r="D9" i="44"/>
  <c r="B10" i="44"/>
  <c r="X7" i="44"/>
  <c r="B5" i="44"/>
  <c r="M36" i="43"/>
  <c r="N36" i="43" s="1"/>
  <c r="M35" i="43"/>
  <c r="N35" i="43" s="1"/>
  <c r="M34" i="43"/>
  <c r="N34" i="43" s="1"/>
  <c r="M33" i="43"/>
  <c r="N33" i="43" s="1"/>
  <c r="M32" i="43"/>
  <c r="N32" i="43" s="1"/>
  <c r="M31" i="43"/>
  <c r="N31" i="43" s="1"/>
  <c r="M30" i="43"/>
  <c r="N30" i="43" s="1"/>
  <c r="M29" i="43"/>
  <c r="N29" i="43" s="1"/>
  <c r="M28" i="43"/>
  <c r="N28" i="43" s="1"/>
  <c r="M27" i="43"/>
  <c r="N27" i="43" s="1"/>
  <c r="M26" i="43"/>
  <c r="N26" i="43" s="1"/>
  <c r="M25" i="43"/>
  <c r="N25" i="43" s="1"/>
  <c r="M24" i="43"/>
  <c r="N24" i="43" s="1"/>
  <c r="M23" i="43"/>
  <c r="N23" i="43" s="1"/>
  <c r="M22" i="43"/>
  <c r="N22" i="43" s="1"/>
  <c r="M21" i="43"/>
  <c r="N21" i="43" s="1"/>
  <c r="M20" i="43"/>
  <c r="N20" i="43" s="1"/>
  <c r="M19" i="43"/>
  <c r="N19" i="43" s="1"/>
  <c r="M18" i="43"/>
  <c r="N18" i="43" s="1"/>
  <c r="X17" i="43"/>
  <c r="M17" i="43"/>
  <c r="N17" i="43" s="1"/>
  <c r="M16" i="43"/>
  <c r="N16" i="43" s="1"/>
  <c r="P16" i="43" s="1"/>
  <c r="Q16" i="43" s="1"/>
  <c r="M15" i="43"/>
  <c r="N15" i="43" s="1"/>
  <c r="M13" i="43"/>
  <c r="N13" i="43" s="1"/>
  <c r="M12" i="43"/>
  <c r="N12" i="43" s="1"/>
  <c r="P12" i="43" s="1"/>
  <c r="Q12" i="43" s="1"/>
  <c r="X11" i="43"/>
  <c r="X16" i="43" s="1"/>
  <c r="X18" i="43" s="1"/>
  <c r="M11" i="43"/>
  <c r="N11" i="43" s="1"/>
  <c r="B10" i="43"/>
  <c r="E10" i="43" s="1"/>
  <c r="X9" i="43"/>
  <c r="X10" i="43" s="1"/>
  <c r="M9" i="43"/>
  <c r="N9" i="43" s="1"/>
  <c r="D9" i="43"/>
  <c r="E9" i="43"/>
  <c r="X7" i="43"/>
  <c r="B5" i="43"/>
  <c r="B6" i="51" l="1"/>
  <c r="A17" i="1" s="1"/>
  <c r="B6" i="48"/>
  <c r="A24" i="1" s="1"/>
  <c r="E9" i="44"/>
  <c r="B6" i="49"/>
  <c r="A25" i="1" s="1"/>
  <c r="B6" i="44"/>
  <c r="A20" i="1" s="1"/>
  <c r="E9" i="48"/>
  <c r="B6" i="46"/>
  <c r="A22" i="1" s="1"/>
  <c r="A9" i="50"/>
  <c r="B10" i="49"/>
  <c r="A10" i="49" s="1"/>
  <c r="D9" i="49"/>
  <c r="E9" i="49"/>
  <c r="O36" i="50"/>
  <c r="P36" i="50"/>
  <c r="Q36" i="50" s="1"/>
  <c r="O37" i="50"/>
  <c r="P37" i="50"/>
  <c r="Q37" i="50" s="1"/>
  <c r="O39" i="50"/>
  <c r="P39" i="50"/>
  <c r="Q39" i="50" s="1"/>
  <c r="O35" i="50"/>
  <c r="P35" i="50"/>
  <c r="Q35" i="50" s="1"/>
  <c r="O38" i="50"/>
  <c r="P38" i="50"/>
  <c r="Q38" i="50" s="1"/>
  <c r="O34" i="50"/>
  <c r="P34" i="50"/>
  <c r="Q34" i="50" s="1"/>
  <c r="O37" i="48"/>
  <c r="P37" i="48"/>
  <c r="Q37" i="48" s="1"/>
  <c r="O36" i="48"/>
  <c r="P36" i="48"/>
  <c r="Q36" i="48" s="1"/>
  <c r="O39" i="48"/>
  <c r="P39" i="48"/>
  <c r="Q39" i="48" s="1"/>
  <c r="O35" i="48"/>
  <c r="P35" i="48"/>
  <c r="Q35" i="48" s="1"/>
  <c r="O38" i="48"/>
  <c r="P38" i="48"/>
  <c r="Q38" i="48" s="1"/>
  <c r="O34" i="48"/>
  <c r="P34" i="48"/>
  <c r="Q34" i="48" s="1"/>
  <c r="X18" i="48"/>
  <c r="A9" i="48"/>
  <c r="A9" i="47"/>
  <c r="B6" i="47"/>
  <c r="A23" i="1" s="1"/>
  <c r="D9" i="47"/>
  <c r="P39" i="46"/>
  <c r="Q39" i="46" s="1"/>
  <c r="R39" i="46" s="1"/>
  <c r="P38" i="46"/>
  <c r="Q38" i="46" s="1"/>
  <c r="R38" i="46" s="1"/>
  <c r="P37" i="46"/>
  <c r="Q37" i="46" s="1"/>
  <c r="R37" i="46" s="1"/>
  <c r="P36" i="46"/>
  <c r="Q36" i="46" s="1"/>
  <c r="R36" i="46" s="1"/>
  <c r="X18" i="46"/>
  <c r="P38" i="45"/>
  <c r="Q38" i="45" s="1"/>
  <c r="O38" i="45"/>
  <c r="O37" i="45"/>
  <c r="R37" i="45" s="1"/>
  <c r="O39" i="45"/>
  <c r="R39" i="45" s="1"/>
  <c r="O39" i="43"/>
  <c r="P39" i="43"/>
  <c r="Q39" i="43" s="1"/>
  <c r="O38" i="43"/>
  <c r="P38" i="43"/>
  <c r="Q38" i="43" s="1"/>
  <c r="O37" i="43"/>
  <c r="P37" i="43"/>
  <c r="Q37" i="43" s="1"/>
  <c r="A9" i="43"/>
  <c r="P38" i="51"/>
  <c r="Q38" i="51" s="1"/>
  <c r="O38" i="51"/>
  <c r="O39" i="51"/>
  <c r="R39" i="51" s="1"/>
  <c r="A9" i="51"/>
  <c r="D9" i="51"/>
  <c r="P16" i="51"/>
  <c r="Q16" i="51" s="1"/>
  <c r="O16" i="51"/>
  <c r="P12" i="51"/>
  <c r="Q12" i="51" s="1"/>
  <c r="O12" i="51"/>
  <c r="P14" i="51"/>
  <c r="Q14" i="51" s="1"/>
  <c r="O14" i="51"/>
  <c r="P10" i="51"/>
  <c r="Q10" i="51" s="1"/>
  <c r="O10" i="51"/>
  <c r="O13" i="51"/>
  <c r="R13" i="51" s="1"/>
  <c r="O15" i="51"/>
  <c r="R15" i="51" s="1"/>
  <c r="P30" i="51"/>
  <c r="Q30" i="51" s="1"/>
  <c r="O30" i="51"/>
  <c r="P23" i="51"/>
  <c r="Q23" i="51" s="1"/>
  <c r="O23" i="51"/>
  <c r="P9" i="51"/>
  <c r="Q9" i="51" s="1"/>
  <c r="O9" i="51"/>
  <c r="P24" i="51"/>
  <c r="Q24" i="51" s="1"/>
  <c r="O24" i="51"/>
  <c r="P32" i="51"/>
  <c r="Q32" i="51" s="1"/>
  <c r="O32" i="51"/>
  <c r="P25" i="51"/>
  <c r="Q25" i="51" s="1"/>
  <c r="O25" i="51"/>
  <c r="P33" i="51"/>
  <c r="Q33" i="51" s="1"/>
  <c r="O33" i="51"/>
  <c r="P22" i="51"/>
  <c r="Q22" i="51" s="1"/>
  <c r="O22" i="51"/>
  <c r="P31" i="51"/>
  <c r="Q31" i="51" s="1"/>
  <c r="O31" i="51"/>
  <c r="P18" i="51"/>
  <c r="Q18" i="51" s="1"/>
  <c r="O18" i="51"/>
  <c r="P26" i="51"/>
  <c r="Q26" i="51" s="1"/>
  <c r="O26" i="51"/>
  <c r="P34" i="51"/>
  <c r="Q34" i="51" s="1"/>
  <c r="O34" i="51"/>
  <c r="P19" i="51"/>
  <c r="Q19" i="51" s="1"/>
  <c r="O19" i="51"/>
  <c r="P27" i="51"/>
  <c r="Q27" i="51" s="1"/>
  <c r="O27" i="51"/>
  <c r="P35" i="51"/>
  <c r="Q35" i="51" s="1"/>
  <c r="O35" i="51"/>
  <c r="P37" i="51"/>
  <c r="Q37" i="51" s="1"/>
  <c r="O37" i="51"/>
  <c r="P20" i="51"/>
  <c r="Q20" i="51" s="1"/>
  <c r="O20" i="51"/>
  <c r="P28" i="51"/>
  <c r="Q28" i="51" s="1"/>
  <c r="O28" i="51"/>
  <c r="P36" i="51"/>
  <c r="Q36" i="51" s="1"/>
  <c r="O36" i="51"/>
  <c r="P21" i="51"/>
  <c r="Q21" i="51" s="1"/>
  <c r="O21" i="51"/>
  <c r="P29" i="51"/>
  <c r="Q29" i="51" s="1"/>
  <c r="O29" i="51"/>
  <c r="P17" i="51"/>
  <c r="Q17" i="51" s="1"/>
  <c r="R17" i="51" s="1"/>
  <c r="B10" i="51"/>
  <c r="O13" i="47"/>
  <c r="R13" i="47" s="1"/>
  <c r="O14" i="47"/>
  <c r="R14" i="47" s="1"/>
  <c r="P15" i="43"/>
  <c r="Q15" i="43" s="1"/>
  <c r="O15" i="43"/>
  <c r="P15" i="46"/>
  <c r="Q15" i="46" s="1"/>
  <c r="O15" i="46"/>
  <c r="P12" i="48"/>
  <c r="Q12" i="48" s="1"/>
  <c r="O12" i="48"/>
  <c r="P16" i="49"/>
  <c r="Q16" i="49" s="1"/>
  <c r="O16" i="49"/>
  <c r="P16" i="45"/>
  <c r="Q16" i="45" s="1"/>
  <c r="O16" i="45"/>
  <c r="P13" i="44"/>
  <c r="Q13" i="44" s="1"/>
  <c r="O13" i="44"/>
  <c r="P14" i="48"/>
  <c r="Q14" i="48" s="1"/>
  <c r="O14" i="48"/>
  <c r="P12" i="49"/>
  <c r="Q12" i="49" s="1"/>
  <c r="O12" i="49"/>
  <c r="O15" i="50"/>
  <c r="P15" i="50"/>
  <c r="Q15" i="50" s="1"/>
  <c r="O11" i="43"/>
  <c r="P11" i="43"/>
  <c r="Q11" i="43" s="1"/>
  <c r="O16" i="46"/>
  <c r="P16" i="46"/>
  <c r="Q16" i="46" s="1"/>
  <c r="P11" i="49"/>
  <c r="Q11" i="49" s="1"/>
  <c r="O11" i="49"/>
  <c r="P16" i="50"/>
  <c r="Q16" i="50" s="1"/>
  <c r="O16" i="50"/>
  <c r="P17" i="46"/>
  <c r="Q17" i="46" s="1"/>
  <c r="O17" i="46"/>
  <c r="O13" i="48"/>
  <c r="P13" i="48"/>
  <c r="Q13" i="48" s="1"/>
  <c r="O15" i="48"/>
  <c r="P15" i="48"/>
  <c r="Q15" i="48" s="1"/>
  <c r="P13" i="43"/>
  <c r="Q13" i="43" s="1"/>
  <c r="O13" i="43"/>
  <c r="O12" i="46"/>
  <c r="P12" i="46"/>
  <c r="Q12" i="46" s="1"/>
  <c r="P16" i="48"/>
  <c r="Q16" i="48" s="1"/>
  <c r="O16" i="48"/>
  <c r="O9" i="49"/>
  <c r="P9" i="49"/>
  <c r="Q9" i="49" s="1"/>
  <c r="P12" i="50"/>
  <c r="Q12" i="50" s="1"/>
  <c r="O12" i="50"/>
  <c r="P15" i="44"/>
  <c r="Q15" i="44" s="1"/>
  <c r="O15" i="44"/>
  <c r="P13" i="46"/>
  <c r="Q13" i="46" s="1"/>
  <c r="O13" i="46"/>
  <c r="P14" i="49"/>
  <c r="Q14" i="49" s="1"/>
  <c r="O14" i="49"/>
  <c r="O13" i="50"/>
  <c r="P13" i="50"/>
  <c r="Q13" i="50" s="1"/>
  <c r="O10" i="45"/>
  <c r="P10" i="45"/>
  <c r="Q10" i="45" s="1"/>
  <c r="P14" i="45"/>
  <c r="Q14" i="45" s="1"/>
  <c r="O14" i="45"/>
  <c r="O14" i="46"/>
  <c r="P14" i="46"/>
  <c r="Q14" i="46" s="1"/>
  <c r="P14" i="50"/>
  <c r="Q14" i="50" s="1"/>
  <c r="O14" i="50"/>
  <c r="O12" i="44"/>
  <c r="R12" i="44" s="1"/>
  <c r="O14" i="44"/>
  <c r="R14" i="44" s="1"/>
  <c r="O16" i="44"/>
  <c r="P16" i="44"/>
  <c r="Q16" i="44" s="1"/>
  <c r="O12" i="43"/>
  <c r="R12" i="43" s="1"/>
  <c r="O16" i="43"/>
  <c r="R16" i="43" s="1"/>
  <c r="O11" i="44"/>
  <c r="R11" i="44" s="1"/>
  <c r="O13" i="45"/>
  <c r="O15" i="45"/>
  <c r="R15" i="45" s="1"/>
  <c r="O10" i="49"/>
  <c r="O13" i="49"/>
  <c r="R13" i="49" s="1"/>
  <c r="O15" i="49"/>
  <c r="R15" i="49" s="1"/>
  <c r="P13" i="45"/>
  <c r="Q13" i="45" s="1"/>
  <c r="P10" i="49"/>
  <c r="Q10" i="49" s="1"/>
  <c r="P11" i="45"/>
  <c r="Q11" i="45" s="1"/>
  <c r="R11" i="45" s="1"/>
  <c r="O11" i="48"/>
  <c r="P11" i="50"/>
  <c r="Q11" i="50" s="1"/>
  <c r="R11" i="50" s="1"/>
  <c r="O15" i="47"/>
  <c r="R15" i="47" s="1"/>
  <c r="P11" i="48"/>
  <c r="Q11" i="48" s="1"/>
  <c r="P33" i="50"/>
  <c r="Q33" i="50" s="1"/>
  <c r="O33" i="50"/>
  <c r="P24" i="50"/>
  <c r="Q24" i="50" s="1"/>
  <c r="O24" i="50"/>
  <c r="P32" i="50"/>
  <c r="Q32" i="50" s="1"/>
  <c r="O32" i="50"/>
  <c r="P10" i="50"/>
  <c r="Q10" i="50" s="1"/>
  <c r="O10" i="50"/>
  <c r="P19" i="50"/>
  <c r="Q19" i="50" s="1"/>
  <c r="O19" i="50"/>
  <c r="P27" i="50"/>
  <c r="Q27" i="50" s="1"/>
  <c r="O27" i="50"/>
  <c r="P25" i="50"/>
  <c r="Q25" i="50" s="1"/>
  <c r="O25" i="50"/>
  <c r="P20" i="50"/>
  <c r="Q20" i="50" s="1"/>
  <c r="O20" i="50"/>
  <c r="P28" i="50"/>
  <c r="Q28" i="50" s="1"/>
  <c r="O28" i="50"/>
  <c r="P21" i="50"/>
  <c r="Q21" i="50" s="1"/>
  <c r="O21" i="50"/>
  <c r="P29" i="50"/>
  <c r="Q29" i="50" s="1"/>
  <c r="O29" i="50"/>
  <c r="P26" i="50"/>
  <c r="Q26" i="50" s="1"/>
  <c r="O26" i="50"/>
  <c r="P22" i="50"/>
  <c r="Q22" i="50" s="1"/>
  <c r="O22" i="50"/>
  <c r="P30" i="50"/>
  <c r="Q30" i="50" s="1"/>
  <c r="O30" i="50"/>
  <c r="P23" i="50"/>
  <c r="Q23" i="50" s="1"/>
  <c r="O23" i="50"/>
  <c r="P31" i="50"/>
  <c r="Q31" i="50" s="1"/>
  <c r="O31" i="50"/>
  <c r="P17" i="50"/>
  <c r="Q17" i="50" s="1"/>
  <c r="R17" i="50" s="1"/>
  <c r="O18" i="50"/>
  <c r="B10" i="50"/>
  <c r="P18" i="50"/>
  <c r="Q18" i="50" s="1"/>
  <c r="D9" i="50"/>
  <c r="E9" i="50"/>
  <c r="P23" i="49"/>
  <c r="Q23" i="49" s="1"/>
  <c r="O23" i="49"/>
  <c r="P38" i="49"/>
  <c r="Q38" i="49" s="1"/>
  <c r="O38" i="49"/>
  <c r="P24" i="49"/>
  <c r="Q24" i="49" s="1"/>
  <c r="O24" i="49"/>
  <c r="P32" i="49"/>
  <c r="Q32" i="49" s="1"/>
  <c r="O32" i="49"/>
  <c r="P33" i="49"/>
  <c r="Q33" i="49" s="1"/>
  <c r="O33" i="49"/>
  <c r="P26" i="49"/>
  <c r="Q26" i="49" s="1"/>
  <c r="O26" i="49"/>
  <c r="P34" i="49"/>
  <c r="Q34" i="49" s="1"/>
  <c r="O34" i="49"/>
  <c r="P25" i="49"/>
  <c r="Q25" i="49" s="1"/>
  <c r="O25" i="49"/>
  <c r="P19" i="49"/>
  <c r="Q19" i="49" s="1"/>
  <c r="O19" i="49"/>
  <c r="P27" i="49"/>
  <c r="Q27" i="49" s="1"/>
  <c r="O27" i="49"/>
  <c r="P35" i="49"/>
  <c r="Q35" i="49" s="1"/>
  <c r="O35" i="49"/>
  <c r="P20" i="49"/>
  <c r="Q20" i="49" s="1"/>
  <c r="O20" i="49"/>
  <c r="P28" i="49"/>
  <c r="Q28" i="49" s="1"/>
  <c r="O28" i="49"/>
  <c r="P36" i="49"/>
  <c r="Q36" i="49" s="1"/>
  <c r="O36" i="49"/>
  <c r="P21" i="49"/>
  <c r="Q21" i="49" s="1"/>
  <c r="O21" i="49"/>
  <c r="P29" i="49"/>
  <c r="Q29" i="49" s="1"/>
  <c r="O29" i="49"/>
  <c r="P22" i="49"/>
  <c r="Q22" i="49" s="1"/>
  <c r="O22" i="49"/>
  <c r="P30" i="49"/>
  <c r="Q30" i="49" s="1"/>
  <c r="O30" i="49"/>
  <c r="P37" i="49"/>
  <c r="Q37" i="49" s="1"/>
  <c r="O37" i="49"/>
  <c r="P31" i="49"/>
  <c r="Q31" i="49" s="1"/>
  <c r="O31" i="49"/>
  <c r="P17" i="49"/>
  <c r="Q17" i="49" s="1"/>
  <c r="R17" i="49" s="1"/>
  <c r="O18" i="49"/>
  <c r="P18" i="49"/>
  <c r="Q18" i="49" s="1"/>
  <c r="P24" i="48"/>
  <c r="Q24" i="48" s="1"/>
  <c r="O24" i="48"/>
  <c r="P32" i="48"/>
  <c r="Q32" i="48" s="1"/>
  <c r="O32" i="48"/>
  <c r="P25" i="48"/>
  <c r="Q25" i="48" s="1"/>
  <c r="O25" i="48"/>
  <c r="P33" i="48"/>
  <c r="Q33" i="48" s="1"/>
  <c r="O33" i="48"/>
  <c r="P18" i="48"/>
  <c r="Q18" i="48" s="1"/>
  <c r="O18" i="48"/>
  <c r="P26" i="48"/>
  <c r="Q26" i="48" s="1"/>
  <c r="O26" i="48"/>
  <c r="P19" i="48"/>
  <c r="Q19" i="48" s="1"/>
  <c r="O19" i="48"/>
  <c r="P27" i="48"/>
  <c r="Q27" i="48" s="1"/>
  <c r="O27" i="48"/>
  <c r="P20" i="48"/>
  <c r="Q20" i="48" s="1"/>
  <c r="O20" i="48"/>
  <c r="P28" i="48"/>
  <c r="Q28" i="48" s="1"/>
  <c r="O28" i="48"/>
  <c r="P10" i="48"/>
  <c r="Q10" i="48" s="1"/>
  <c r="O10" i="48"/>
  <c r="P21" i="48"/>
  <c r="Q21" i="48" s="1"/>
  <c r="O21" i="48"/>
  <c r="P29" i="48"/>
  <c r="Q29" i="48" s="1"/>
  <c r="O29" i="48"/>
  <c r="P22" i="48"/>
  <c r="Q22" i="48" s="1"/>
  <c r="O22" i="48"/>
  <c r="P30" i="48"/>
  <c r="Q30" i="48" s="1"/>
  <c r="O30" i="48"/>
  <c r="P23" i="48"/>
  <c r="Q23" i="48" s="1"/>
  <c r="O23" i="48"/>
  <c r="P31" i="48"/>
  <c r="Q31" i="48" s="1"/>
  <c r="O31" i="48"/>
  <c r="P17" i="48"/>
  <c r="Q17" i="48" s="1"/>
  <c r="B10" i="48"/>
  <c r="O17" i="48"/>
  <c r="P22" i="47"/>
  <c r="Q22" i="47" s="1"/>
  <c r="O22" i="47"/>
  <c r="P30" i="47"/>
  <c r="Q30" i="47" s="1"/>
  <c r="O30" i="47"/>
  <c r="O12" i="47"/>
  <c r="R12" i="47" s="1"/>
  <c r="P25" i="47"/>
  <c r="Q25" i="47" s="1"/>
  <c r="O25" i="47"/>
  <c r="P33" i="47"/>
  <c r="Q33" i="47" s="1"/>
  <c r="O33" i="47"/>
  <c r="E10" i="47"/>
  <c r="D10" i="47"/>
  <c r="B11" i="47"/>
  <c r="A10" i="47"/>
  <c r="O18" i="47"/>
  <c r="R18" i="47" s="1"/>
  <c r="O20" i="47"/>
  <c r="P20" i="47"/>
  <c r="Q20" i="47" s="1"/>
  <c r="O28" i="47"/>
  <c r="P28" i="47"/>
  <c r="Q28" i="47" s="1"/>
  <c r="P36" i="47"/>
  <c r="Q36" i="47" s="1"/>
  <c r="O36" i="47"/>
  <c r="O23" i="47"/>
  <c r="P23" i="47"/>
  <c r="Q23" i="47" s="1"/>
  <c r="P31" i="47"/>
  <c r="Q31" i="47" s="1"/>
  <c r="O31" i="47"/>
  <c r="O26" i="47"/>
  <c r="P26" i="47"/>
  <c r="Q26" i="47" s="1"/>
  <c r="P34" i="47"/>
  <c r="Q34" i="47" s="1"/>
  <c r="O34" i="47"/>
  <c r="O11" i="47"/>
  <c r="R11" i="47" s="1"/>
  <c r="P16" i="47"/>
  <c r="Q16" i="47" s="1"/>
  <c r="R16" i="47" s="1"/>
  <c r="O21" i="47"/>
  <c r="P21" i="47"/>
  <c r="Q21" i="47" s="1"/>
  <c r="P29" i="47"/>
  <c r="Q29" i="47" s="1"/>
  <c r="O29" i="47"/>
  <c r="O37" i="47"/>
  <c r="P37" i="47"/>
  <c r="Q37" i="47" s="1"/>
  <c r="P19" i="47"/>
  <c r="Q19" i="47" s="1"/>
  <c r="O24" i="47"/>
  <c r="P24" i="47"/>
  <c r="Q24" i="47" s="1"/>
  <c r="P32" i="47"/>
  <c r="Q32" i="47" s="1"/>
  <c r="O32" i="47"/>
  <c r="P17" i="47"/>
  <c r="Q17" i="47" s="1"/>
  <c r="O17" i="47"/>
  <c r="O19" i="47"/>
  <c r="P27" i="47"/>
  <c r="Q27" i="47" s="1"/>
  <c r="O27" i="47"/>
  <c r="P35" i="47"/>
  <c r="Q35" i="47" s="1"/>
  <c r="O35" i="47"/>
  <c r="P38" i="47"/>
  <c r="Q38" i="47" s="1"/>
  <c r="O38" i="47"/>
  <c r="E9" i="47"/>
  <c r="O10" i="47"/>
  <c r="R10" i="47" s="1"/>
  <c r="P24" i="46"/>
  <c r="Q24" i="46" s="1"/>
  <c r="O24" i="46"/>
  <c r="P32" i="46"/>
  <c r="Q32" i="46" s="1"/>
  <c r="O32" i="46"/>
  <c r="P25" i="46"/>
  <c r="Q25" i="46" s="1"/>
  <c r="O25" i="46"/>
  <c r="P33" i="46"/>
  <c r="Q33" i="46" s="1"/>
  <c r="O33" i="46"/>
  <c r="P22" i="46"/>
  <c r="Q22" i="46" s="1"/>
  <c r="O22" i="46"/>
  <c r="P23" i="46"/>
  <c r="Q23" i="46" s="1"/>
  <c r="O23" i="46"/>
  <c r="P31" i="46"/>
  <c r="Q31" i="46" s="1"/>
  <c r="O31" i="46"/>
  <c r="P26" i="46"/>
  <c r="Q26" i="46" s="1"/>
  <c r="O26" i="46"/>
  <c r="P34" i="46"/>
  <c r="Q34" i="46" s="1"/>
  <c r="O34" i="46"/>
  <c r="O11" i="46"/>
  <c r="P11" i="46"/>
  <c r="Q11" i="46" s="1"/>
  <c r="P30" i="46"/>
  <c r="Q30" i="46" s="1"/>
  <c r="O30" i="46"/>
  <c r="P19" i="46"/>
  <c r="Q19" i="46" s="1"/>
  <c r="O19" i="46"/>
  <c r="P27" i="46"/>
  <c r="Q27" i="46" s="1"/>
  <c r="O27" i="46"/>
  <c r="P35" i="46"/>
  <c r="Q35" i="46" s="1"/>
  <c r="O35" i="46"/>
  <c r="P20" i="46"/>
  <c r="Q20" i="46" s="1"/>
  <c r="O20" i="46"/>
  <c r="P28" i="46"/>
  <c r="Q28" i="46" s="1"/>
  <c r="O28" i="46"/>
  <c r="P21" i="46"/>
  <c r="Q21" i="46" s="1"/>
  <c r="O21" i="46"/>
  <c r="P29" i="46"/>
  <c r="Q29" i="46" s="1"/>
  <c r="O29" i="46"/>
  <c r="O18" i="46"/>
  <c r="B10" i="46"/>
  <c r="P18" i="46"/>
  <c r="Q18" i="46" s="1"/>
  <c r="E9" i="46"/>
  <c r="O10" i="46"/>
  <c r="R10" i="46" s="1"/>
  <c r="D9" i="46"/>
  <c r="P20" i="45"/>
  <c r="Q20" i="45" s="1"/>
  <c r="O20" i="45"/>
  <c r="P22" i="45"/>
  <c r="Q22" i="45" s="1"/>
  <c r="O22" i="45"/>
  <c r="P24" i="45"/>
  <c r="Q24" i="45" s="1"/>
  <c r="O24" i="45"/>
  <c r="P26" i="45"/>
  <c r="Q26" i="45" s="1"/>
  <c r="O26" i="45"/>
  <c r="P28" i="45"/>
  <c r="Q28" i="45" s="1"/>
  <c r="O28" i="45"/>
  <c r="P30" i="45"/>
  <c r="Q30" i="45" s="1"/>
  <c r="O30" i="45"/>
  <c r="P32" i="45"/>
  <c r="Q32" i="45" s="1"/>
  <c r="O32" i="45"/>
  <c r="P34" i="45"/>
  <c r="Q34" i="45" s="1"/>
  <c r="O34" i="45"/>
  <c r="P36" i="45"/>
  <c r="Q36" i="45" s="1"/>
  <c r="O36" i="45"/>
  <c r="B6" i="45"/>
  <c r="A21" i="1" s="1"/>
  <c r="E9" i="45"/>
  <c r="D9" i="45"/>
  <c r="B10" i="45"/>
  <c r="P19" i="45"/>
  <c r="Q19" i="45" s="1"/>
  <c r="O19" i="45"/>
  <c r="P21" i="45"/>
  <c r="Q21" i="45" s="1"/>
  <c r="O21" i="45"/>
  <c r="P23" i="45"/>
  <c r="Q23" i="45" s="1"/>
  <c r="O23" i="45"/>
  <c r="P25" i="45"/>
  <c r="Q25" i="45" s="1"/>
  <c r="O25" i="45"/>
  <c r="P27" i="45"/>
  <c r="Q27" i="45" s="1"/>
  <c r="O27" i="45"/>
  <c r="P29" i="45"/>
  <c r="Q29" i="45" s="1"/>
  <c r="O29" i="45"/>
  <c r="P31" i="45"/>
  <c r="Q31" i="45" s="1"/>
  <c r="O31" i="45"/>
  <c r="P33" i="45"/>
  <c r="Q33" i="45" s="1"/>
  <c r="O33" i="45"/>
  <c r="P35" i="45"/>
  <c r="Q35" i="45" s="1"/>
  <c r="O35" i="45"/>
  <c r="O12" i="45"/>
  <c r="P17" i="45"/>
  <c r="Q17" i="45" s="1"/>
  <c r="O17" i="45"/>
  <c r="P12" i="45"/>
  <c r="Q12" i="45" s="1"/>
  <c r="P24" i="44"/>
  <c r="Q24" i="44" s="1"/>
  <c r="O24" i="44"/>
  <c r="P32" i="44"/>
  <c r="Q32" i="44" s="1"/>
  <c r="O32" i="44"/>
  <c r="P25" i="44"/>
  <c r="Q25" i="44" s="1"/>
  <c r="O25" i="44"/>
  <c r="P33" i="44"/>
  <c r="Q33" i="44" s="1"/>
  <c r="O33" i="44"/>
  <c r="P18" i="44"/>
  <c r="Q18" i="44" s="1"/>
  <c r="O18" i="44"/>
  <c r="P26" i="44"/>
  <c r="Q26" i="44" s="1"/>
  <c r="O26" i="44"/>
  <c r="P34" i="44"/>
  <c r="Q34" i="44" s="1"/>
  <c r="O34" i="44"/>
  <c r="P19" i="44"/>
  <c r="Q19" i="44" s="1"/>
  <c r="O19" i="44"/>
  <c r="P27" i="44"/>
  <c r="Q27" i="44" s="1"/>
  <c r="O27" i="44"/>
  <c r="P35" i="44"/>
  <c r="Q35" i="44" s="1"/>
  <c r="O35" i="44"/>
  <c r="E10" i="44"/>
  <c r="D10" i="44"/>
  <c r="B11" i="44"/>
  <c r="A10" i="44"/>
  <c r="P23" i="44"/>
  <c r="Q23" i="44" s="1"/>
  <c r="O23" i="44"/>
  <c r="P20" i="44"/>
  <c r="Q20" i="44" s="1"/>
  <c r="O20" i="44"/>
  <c r="P28" i="44"/>
  <c r="Q28" i="44" s="1"/>
  <c r="O28" i="44"/>
  <c r="P36" i="44"/>
  <c r="Q36" i="44" s="1"/>
  <c r="O36" i="44"/>
  <c r="P10" i="44"/>
  <c r="Q10" i="44" s="1"/>
  <c r="O10" i="44"/>
  <c r="P21" i="44"/>
  <c r="Q21" i="44" s="1"/>
  <c r="O21" i="44"/>
  <c r="P29" i="44"/>
  <c r="Q29" i="44" s="1"/>
  <c r="O29" i="44"/>
  <c r="P31" i="44"/>
  <c r="Q31" i="44" s="1"/>
  <c r="O31" i="44"/>
  <c r="P22" i="44"/>
  <c r="Q22" i="44" s="1"/>
  <c r="O22" i="44"/>
  <c r="P30" i="44"/>
  <c r="Q30" i="44" s="1"/>
  <c r="O30" i="44"/>
  <c r="P37" i="44"/>
  <c r="Q37" i="44" s="1"/>
  <c r="O37" i="44"/>
  <c r="P38" i="44"/>
  <c r="Q38" i="44" s="1"/>
  <c r="O38" i="44"/>
  <c r="O17" i="44"/>
  <c r="P17" i="44"/>
  <c r="Q17" i="44" s="1"/>
  <c r="O9" i="44"/>
  <c r="R9" i="44" s="1"/>
  <c r="P23" i="43"/>
  <c r="Q23" i="43" s="1"/>
  <c r="O23" i="43"/>
  <c r="P31" i="43"/>
  <c r="Q31" i="43" s="1"/>
  <c r="O31" i="43"/>
  <c r="P24" i="43"/>
  <c r="Q24" i="43" s="1"/>
  <c r="O24" i="43"/>
  <c r="P32" i="43"/>
  <c r="Q32" i="43" s="1"/>
  <c r="O32" i="43"/>
  <c r="P25" i="43"/>
  <c r="Q25" i="43" s="1"/>
  <c r="O25" i="43"/>
  <c r="P33" i="43"/>
  <c r="Q33" i="43" s="1"/>
  <c r="O33" i="43"/>
  <c r="P30" i="43"/>
  <c r="Q30" i="43" s="1"/>
  <c r="O30" i="43"/>
  <c r="P9" i="43"/>
  <c r="Q9" i="43" s="1"/>
  <c r="O9" i="43"/>
  <c r="P18" i="43"/>
  <c r="Q18" i="43" s="1"/>
  <c r="O18" i="43"/>
  <c r="P26" i="43"/>
  <c r="Q26" i="43" s="1"/>
  <c r="O26" i="43"/>
  <c r="P34" i="43"/>
  <c r="Q34" i="43" s="1"/>
  <c r="O34" i="43"/>
  <c r="P19" i="43"/>
  <c r="Q19" i="43" s="1"/>
  <c r="O19" i="43"/>
  <c r="P27" i="43"/>
  <c r="Q27" i="43" s="1"/>
  <c r="O27" i="43"/>
  <c r="P35" i="43"/>
  <c r="Q35" i="43" s="1"/>
  <c r="O35" i="43"/>
  <c r="P22" i="43"/>
  <c r="Q22" i="43" s="1"/>
  <c r="O22" i="43"/>
  <c r="P20" i="43"/>
  <c r="Q20" i="43" s="1"/>
  <c r="O20" i="43"/>
  <c r="P28" i="43"/>
  <c r="Q28" i="43" s="1"/>
  <c r="O28" i="43"/>
  <c r="P36" i="43"/>
  <c r="Q36" i="43" s="1"/>
  <c r="O36" i="43"/>
  <c r="P21" i="43"/>
  <c r="Q21" i="43" s="1"/>
  <c r="O21" i="43"/>
  <c r="P29" i="43"/>
  <c r="Q29" i="43" s="1"/>
  <c r="O29" i="43"/>
  <c r="O17" i="43"/>
  <c r="A10" i="43"/>
  <c r="P17" i="43"/>
  <c r="Q17" i="43" s="1"/>
  <c r="B11" i="43"/>
  <c r="D10" i="43"/>
  <c r="B19" i="1"/>
  <c r="B9" i="42"/>
  <c r="D9" i="42" s="1"/>
  <c r="M39" i="42"/>
  <c r="N39" i="42" s="1"/>
  <c r="M38" i="42"/>
  <c r="N38" i="42" s="1"/>
  <c r="M37" i="42"/>
  <c r="N37" i="42" s="1"/>
  <c r="M36" i="42"/>
  <c r="N36" i="42" s="1"/>
  <c r="M35" i="42"/>
  <c r="N35" i="42" s="1"/>
  <c r="M34" i="42"/>
  <c r="N34" i="42" s="1"/>
  <c r="M33" i="42"/>
  <c r="N33" i="42" s="1"/>
  <c r="M32" i="42"/>
  <c r="N32" i="42" s="1"/>
  <c r="M31" i="42"/>
  <c r="N31" i="42" s="1"/>
  <c r="M29" i="42"/>
  <c r="N29" i="42" s="1"/>
  <c r="M28" i="42"/>
  <c r="N28" i="42" s="1"/>
  <c r="M27" i="42"/>
  <c r="N27" i="42" s="1"/>
  <c r="M26" i="42"/>
  <c r="N26" i="42" s="1"/>
  <c r="M25" i="42"/>
  <c r="N25" i="42" s="1"/>
  <c r="M24" i="42"/>
  <c r="N24" i="42" s="1"/>
  <c r="M23" i="42"/>
  <c r="N23" i="42" s="1"/>
  <c r="M22" i="42"/>
  <c r="N22" i="42" s="1"/>
  <c r="M21" i="42"/>
  <c r="N21" i="42" s="1"/>
  <c r="M20" i="42"/>
  <c r="N20" i="42" s="1"/>
  <c r="M19" i="42"/>
  <c r="N19" i="42" s="1"/>
  <c r="M18" i="42"/>
  <c r="N18" i="42" s="1"/>
  <c r="X17" i="42"/>
  <c r="M17" i="42"/>
  <c r="N17" i="42" s="1"/>
  <c r="O17" i="42" s="1"/>
  <c r="M15" i="42"/>
  <c r="N15" i="42" s="1"/>
  <c r="M14" i="42"/>
  <c r="N14" i="42" s="1"/>
  <c r="M13" i="42"/>
  <c r="N13" i="42" s="1"/>
  <c r="M12" i="42"/>
  <c r="N12" i="42" s="1"/>
  <c r="X11" i="42"/>
  <c r="X16" i="42" s="1"/>
  <c r="X18" i="42" s="1"/>
  <c r="M11" i="42"/>
  <c r="N11" i="42" s="1"/>
  <c r="M10" i="42"/>
  <c r="N10" i="42" s="1"/>
  <c r="P10" i="42" s="1"/>
  <c r="Q10" i="42" s="1"/>
  <c r="X9" i="42"/>
  <c r="X10" i="42" s="1"/>
  <c r="X7" i="42"/>
  <c r="B5" i="42"/>
  <c r="B18" i="1"/>
  <c r="B9" i="41"/>
  <c r="D9" i="41" s="1"/>
  <c r="M38" i="41"/>
  <c r="N38" i="41" s="1"/>
  <c r="M37" i="41"/>
  <c r="N37" i="41" s="1"/>
  <c r="M36" i="41"/>
  <c r="N36" i="41" s="1"/>
  <c r="M35" i="41"/>
  <c r="N35" i="41" s="1"/>
  <c r="M34" i="41"/>
  <c r="N34" i="41" s="1"/>
  <c r="M33" i="41"/>
  <c r="N33" i="41" s="1"/>
  <c r="M32" i="41"/>
  <c r="N32" i="41" s="1"/>
  <c r="M31" i="41"/>
  <c r="N31" i="41" s="1"/>
  <c r="M30" i="41"/>
  <c r="N30" i="41" s="1"/>
  <c r="M29" i="41"/>
  <c r="N29" i="41" s="1"/>
  <c r="M28" i="41"/>
  <c r="N28" i="41" s="1"/>
  <c r="M27" i="41"/>
  <c r="N27" i="41" s="1"/>
  <c r="M26" i="41"/>
  <c r="N26" i="41" s="1"/>
  <c r="M25" i="41"/>
  <c r="N25" i="41" s="1"/>
  <c r="M24" i="41"/>
  <c r="N24" i="41" s="1"/>
  <c r="M23" i="41"/>
  <c r="N23" i="41" s="1"/>
  <c r="M22" i="41"/>
  <c r="N22" i="41" s="1"/>
  <c r="M21" i="41"/>
  <c r="N21" i="41" s="1"/>
  <c r="M20" i="41"/>
  <c r="N20" i="41" s="1"/>
  <c r="M19" i="41"/>
  <c r="N19" i="41" s="1"/>
  <c r="M18" i="41"/>
  <c r="N18" i="41" s="1"/>
  <c r="X17" i="41"/>
  <c r="M17" i="41"/>
  <c r="N17" i="41" s="1"/>
  <c r="O17" i="41" s="1"/>
  <c r="M16" i="41"/>
  <c r="N16" i="41" s="1"/>
  <c r="M15" i="41"/>
  <c r="N15" i="41" s="1"/>
  <c r="M14" i="41"/>
  <c r="N14" i="41" s="1"/>
  <c r="M13" i="41"/>
  <c r="N13" i="41" s="1"/>
  <c r="M12" i="41"/>
  <c r="N12" i="41" s="1"/>
  <c r="X11" i="41"/>
  <c r="X16" i="41" s="1"/>
  <c r="M11" i="41"/>
  <c r="N11" i="41" s="1"/>
  <c r="M10" i="41"/>
  <c r="N10" i="41" s="1"/>
  <c r="X9" i="41"/>
  <c r="X10" i="41" s="1"/>
  <c r="X7" i="41"/>
  <c r="B5" i="41"/>
  <c r="B11" i="49" l="1"/>
  <c r="D10" i="49"/>
  <c r="E10" i="49"/>
  <c r="B10" i="42"/>
  <c r="B11" i="42" s="1"/>
  <c r="B12" i="42" s="1"/>
  <c r="B13" i="42" s="1"/>
  <c r="B14" i="42" s="1"/>
  <c r="B15" i="42" s="1"/>
  <c r="B16" i="42" s="1"/>
  <c r="B17" i="42" s="1"/>
  <c r="B18" i="42" s="1"/>
  <c r="B19" i="42" s="1"/>
  <c r="B20" i="42" s="1"/>
  <c r="B21" i="42" s="1"/>
  <c r="B22" i="42" s="1"/>
  <c r="B23" i="42" s="1"/>
  <c r="B24" i="42" s="1"/>
  <c r="B25" i="42" s="1"/>
  <c r="B26" i="42" s="1"/>
  <c r="B27" i="42" s="1"/>
  <c r="B28" i="42" s="1"/>
  <c r="B29" i="42" s="1"/>
  <c r="B30" i="42" s="1"/>
  <c r="B31" i="42" s="1"/>
  <c r="B32" i="42" s="1"/>
  <c r="B33" i="42" s="1"/>
  <c r="B34" i="42" s="1"/>
  <c r="B35" i="42" s="1"/>
  <c r="B36" i="42" s="1"/>
  <c r="B37" i="42" s="1"/>
  <c r="B38" i="42" s="1"/>
  <c r="B39" i="42" s="1"/>
  <c r="R15" i="44"/>
  <c r="R14" i="49"/>
  <c r="R35" i="48"/>
  <c r="R39" i="50"/>
  <c r="R20" i="49"/>
  <c r="R34" i="48"/>
  <c r="R32" i="47"/>
  <c r="R33" i="46"/>
  <c r="R19" i="44"/>
  <c r="R28" i="45"/>
  <c r="R38" i="45"/>
  <c r="R37" i="43"/>
  <c r="R39" i="43"/>
  <c r="R13" i="43"/>
  <c r="R38" i="43"/>
  <c r="R30" i="44"/>
  <c r="R35" i="50"/>
  <c r="R34" i="50"/>
  <c r="R37" i="50"/>
  <c r="R38" i="50"/>
  <c r="R36" i="50"/>
  <c r="R30" i="49"/>
  <c r="R18" i="49"/>
  <c r="R36" i="48"/>
  <c r="R38" i="48"/>
  <c r="R37" i="48"/>
  <c r="R39" i="48"/>
  <c r="R17" i="46"/>
  <c r="R25" i="50"/>
  <c r="R15" i="50"/>
  <c r="R32" i="50"/>
  <c r="R24" i="50"/>
  <c r="R35" i="49"/>
  <c r="R25" i="48"/>
  <c r="R14" i="48"/>
  <c r="R11" i="48"/>
  <c r="R23" i="48"/>
  <c r="R29" i="48"/>
  <c r="R28" i="48"/>
  <c r="R19" i="48"/>
  <c r="R17" i="48"/>
  <c r="R31" i="47"/>
  <c r="R12" i="46"/>
  <c r="R23" i="46"/>
  <c r="R16" i="46"/>
  <c r="R18" i="46"/>
  <c r="R29" i="46"/>
  <c r="R30" i="45"/>
  <c r="R19" i="45"/>
  <c r="R25" i="45"/>
  <c r="R16" i="45"/>
  <c r="R15" i="43"/>
  <c r="R16" i="51"/>
  <c r="R38" i="51"/>
  <c r="R14" i="51"/>
  <c r="R19" i="51"/>
  <c r="R31" i="51"/>
  <c r="R32" i="51"/>
  <c r="R9" i="51"/>
  <c r="R30" i="51"/>
  <c r="R37" i="51"/>
  <c r="R34" i="51"/>
  <c r="R22" i="51"/>
  <c r="R12" i="51"/>
  <c r="R18" i="51"/>
  <c r="R10" i="51"/>
  <c r="R36" i="51"/>
  <c r="R28" i="51"/>
  <c r="R33" i="51"/>
  <c r="R29" i="51"/>
  <c r="R20" i="51"/>
  <c r="R27" i="51"/>
  <c r="R25" i="51"/>
  <c r="R21" i="43"/>
  <c r="R20" i="43"/>
  <c r="R35" i="43"/>
  <c r="R25" i="43"/>
  <c r="R22" i="45"/>
  <c r="R20" i="47"/>
  <c r="R25" i="47"/>
  <c r="R33" i="49"/>
  <c r="R16" i="48"/>
  <c r="R13" i="48"/>
  <c r="R21" i="51"/>
  <c r="R35" i="51"/>
  <c r="R26" i="51"/>
  <c r="R24" i="51"/>
  <c r="R23" i="51"/>
  <c r="R18" i="44"/>
  <c r="R31" i="43"/>
  <c r="R19" i="46"/>
  <c r="R12" i="48"/>
  <c r="R37" i="44"/>
  <c r="R28" i="44"/>
  <c r="R17" i="45"/>
  <c r="R20" i="46"/>
  <c r="R37" i="47"/>
  <c r="R13" i="50"/>
  <c r="R12" i="50"/>
  <c r="R13" i="44"/>
  <c r="R15" i="46"/>
  <c r="R21" i="44"/>
  <c r="R26" i="47"/>
  <c r="R14" i="46"/>
  <c r="R11" i="46"/>
  <c r="R29" i="49"/>
  <c r="R21" i="47"/>
  <c r="R16" i="44"/>
  <c r="R14" i="45"/>
  <c r="E10" i="51"/>
  <c r="D10" i="51"/>
  <c r="B11" i="51"/>
  <c r="A10" i="51"/>
  <c r="R26" i="43"/>
  <c r="R20" i="44"/>
  <c r="R12" i="45"/>
  <c r="R26" i="46"/>
  <c r="R22" i="46"/>
  <c r="R24" i="46"/>
  <c r="R22" i="49"/>
  <c r="R25" i="49"/>
  <c r="R10" i="49"/>
  <c r="R16" i="50"/>
  <c r="R27" i="43"/>
  <c r="R22" i="44"/>
  <c r="R10" i="44"/>
  <c r="R27" i="44"/>
  <c r="R21" i="46"/>
  <c r="R26" i="48"/>
  <c r="R21" i="49"/>
  <c r="R34" i="49"/>
  <c r="R24" i="49"/>
  <c r="R31" i="50"/>
  <c r="R13" i="45"/>
  <c r="R13" i="46"/>
  <c r="R15" i="48"/>
  <c r="R11" i="49"/>
  <c r="R19" i="47"/>
  <c r="R36" i="43"/>
  <c r="R36" i="44"/>
  <c r="R33" i="44"/>
  <c r="R27" i="45"/>
  <c r="R35" i="46"/>
  <c r="R38" i="47"/>
  <c r="R34" i="47"/>
  <c r="R23" i="47"/>
  <c r="R18" i="48"/>
  <c r="R24" i="48"/>
  <c r="R37" i="49"/>
  <c r="R27" i="49"/>
  <c r="R14" i="50"/>
  <c r="R10" i="45"/>
  <c r="R12" i="49"/>
  <c r="R34" i="43"/>
  <c r="R27" i="46"/>
  <c r="R32" i="46"/>
  <c r="R35" i="47"/>
  <c r="R30" i="48"/>
  <c r="R16" i="49"/>
  <c r="R33" i="48"/>
  <c r="R28" i="49"/>
  <c r="R27" i="50"/>
  <c r="R11" i="43"/>
  <c r="R29" i="43"/>
  <c r="R33" i="43"/>
  <c r="R24" i="43"/>
  <c r="R23" i="43"/>
  <c r="R29" i="44"/>
  <c r="R24" i="44"/>
  <c r="R29" i="45"/>
  <c r="R23" i="45"/>
  <c r="R32" i="45"/>
  <c r="R26" i="45"/>
  <c r="R28" i="46"/>
  <c r="R24" i="47"/>
  <c r="R32" i="49"/>
  <c r="R30" i="50"/>
  <c r="R29" i="50"/>
  <c r="R34" i="46"/>
  <c r="R25" i="46"/>
  <c r="R17" i="47"/>
  <c r="R36" i="47"/>
  <c r="R21" i="48"/>
  <c r="R27" i="48"/>
  <c r="R36" i="49"/>
  <c r="R28" i="50"/>
  <c r="R18" i="43"/>
  <c r="R17" i="44"/>
  <c r="R35" i="45"/>
  <c r="R21" i="45"/>
  <c r="R24" i="45"/>
  <c r="R30" i="47"/>
  <c r="R20" i="48"/>
  <c r="R22" i="50"/>
  <c r="R21" i="50"/>
  <c r="R30" i="43"/>
  <c r="R17" i="43"/>
  <c r="R28" i="43"/>
  <c r="R22" i="43"/>
  <c r="R19" i="43"/>
  <c r="R9" i="43"/>
  <c r="R38" i="44"/>
  <c r="R35" i="44"/>
  <c r="R34" i="44"/>
  <c r="R25" i="44"/>
  <c r="R33" i="45"/>
  <c r="R36" i="45"/>
  <c r="R30" i="46"/>
  <c r="R28" i="47"/>
  <c r="R33" i="47"/>
  <c r="R22" i="47"/>
  <c r="R31" i="48"/>
  <c r="R10" i="48"/>
  <c r="R32" i="48"/>
  <c r="R31" i="49"/>
  <c r="R26" i="49"/>
  <c r="R38" i="49"/>
  <c r="R18" i="50"/>
  <c r="R23" i="50"/>
  <c r="R20" i="50"/>
  <c r="R19" i="50"/>
  <c r="R9" i="49"/>
  <c r="R31" i="44"/>
  <c r="R31" i="46"/>
  <c r="R22" i="48"/>
  <c r="R19" i="49"/>
  <c r="R33" i="50"/>
  <c r="R32" i="43"/>
  <c r="R23" i="44"/>
  <c r="R26" i="44"/>
  <c r="R32" i="44"/>
  <c r="R31" i="45"/>
  <c r="R34" i="45"/>
  <c r="R20" i="45"/>
  <c r="R27" i="47"/>
  <c r="R29" i="47"/>
  <c r="R23" i="49"/>
  <c r="R26" i="50"/>
  <c r="R10" i="50"/>
  <c r="E10" i="50"/>
  <c r="D10" i="50"/>
  <c r="B11" i="50"/>
  <c r="A10" i="50"/>
  <c r="D11" i="49"/>
  <c r="B12" i="49"/>
  <c r="A11" i="49"/>
  <c r="E11" i="49"/>
  <c r="E10" i="48"/>
  <c r="D10" i="48"/>
  <c r="B11" i="48"/>
  <c r="A10" i="48"/>
  <c r="D11" i="47"/>
  <c r="B12" i="47"/>
  <c r="E11" i="47"/>
  <c r="A11" i="47"/>
  <c r="E10" i="46"/>
  <c r="D10" i="46"/>
  <c r="B11" i="46"/>
  <c r="A10" i="46"/>
  <c r="E10" i="45"/>
  <c r="D10" i="45"/>
  <c r="B11" i="45"/>
  <c r="A10" i="45"/>
  <c r="D11" i="44"/>
  <c r="B12" i="44"/>
  <c r="E11" i="44"/>
  <c r="A11" i="44"/>
  <c r="D11" i="43"/>
  <c r="A11" i="43"/>
  <c r="B12" i="43"/>
  <c r="E11" i="43"/>
  <c r="E9" i="42"/>
  <c r="A9" i="42"/>
  <c r="B6" i="42"/>
  <c r="A19" i="1" s="1"/>
  <c r="P14" i="42"/>
  <c r="Q14" i="42" s="1"/>
  <c r="O14" i="42"/>
  <c r="P12" i="42"/>
  <c r="Q12" i="42" s="1"/>
  <c r="O12" i="42"/>
  <c r="P13" i="42"/>
  <c r="Q13" i="42" s="1"/>
  <c r="O13" i="42"/>
  <c r="P15" i="42"/>
  <c r="Q15" i="42" s="1"/>
  <c r="O15" i="42"/>
  <c r="P24" i="42"/>
  <c r="Q24" i="42" s="1"/>
  <c r="O24" i="42"/>
  <c r="P32" i="42"/>
  <c r="Q32" i="42" s="1"/>
  <c r="O32" i="42"/>
  <c r="P25" i="42"/>
  <c r="Q25" i="42" s="1"/>
  <c r="O25" i="42"/>
  <c r="P33" i="42"/>
  <c r="Q33" i="42" s="1"/>
  <c r="O33" i="42"/>
  <c r="P26" i="42"/>
  <c r="Q26" i="42" s="1"/>
  <c r="O26" i="42"/>
  <c r="P34" i="42"/>
  <c r="Q34" i="42" s="1"/>
  <c r="O34" i="42"/>
  <c r="E10" i="42"/>
  <c r="D10" i="42"/>
  <c r="A10" i="42"/>
  <c r="P19" i="42"/>
  <c r="Q19" i="42" s="1"/>
  <c r="O19" i="42"/>
  <c r="P27" i="42"/>
  <c r="Q27" i="42" s="1"/>
  <c r="O27" i="42"/>
  <c r="P35" i="42"/>
  <c r="Q35" i="42" s="1"/>
  <c r="O35" i="42"/>
  <c r="P20" i="42"/>
  <c r="Q20" i="42" s="1"/>
  <c r="O20" i="42"/>
  <c r="P28" i="42"/>
  <c r="Q28" i="42" s="1"/>
  <c r="O28" i="42"/>
  <c r="P36" i="42"/>
  <c r="Q36" i="42" s="1"/>
  <c r="O36" i="42"/>
  <c r="P21" i="42"/>
  <c r="Q21" i="42" s="1"/>
  <c r="O21" i="42"/>
  <c r="P29" i="42"/>
  <c r="Q29" i="42" s="1"/>
  <c r="O29" i="42"/>
  <c r="P37" i="42"/>
  <c r="Q37" i="42" s="1"/>
  <c r="O37" i="42"/>
  <c r="P22" i="42"/>
  <c r="Q22" i="42" s="1"/>
  <c r="O22" i="42"/>
  <c r="P38" i="42"/>
  <c r="Q38" i="42" s="1"/>
  <c r="O38" i="42"/>
  <c r="O11" i="42"/>
  <c r="P11" i="42"/>
  <c r="Q11" i="42" s="1"/>
  <c r="P23" i="42"/>
  <c r="Q23" i="42" s="1"/>
  <c r="O23" i="42"/>
  <c r="P31" i="42"/>
  <c r="Q31" i="42" s="1"/>
  <c r="O31" i="42"/>
  <c r="P39" i="42"/>
  <c r="Q39" i="42" s="1"/>
  <c r="O39" i="42"/>
  <c r="P17" i="42"/>
  <c r="Q17" i="42" s="1"/>
  <c r="R17" i="42" s="1"/>
  <c r="O18" i="42"/>
  <c r="P18" i="42"/>
  <c r="Q18" i="42" s="1"/>
  <c r="O10" i="42"/>
  <c r="R10" i="42" s="1"/>
  <c r="X18" i="41"/>
  <c r="B6" i="41"/>
  <c r="A18" i="1" s="1"/>
  <c r="A9" i="41"/>
  <c r="P21" i="41"/>
  <c r="Q21" i="41" s="1"/>
  <c r="O21" i="41"/>
  <c r="P29" i="41"/>
  <c r="Q29" i="41" s="1"/>
  <c r="O29" i="41"/>
  <c r="P37" i="41"/>
  <c r="Q37" i="41" s="1"/>
  <c r="O37" i="41"/>
  <c r="P12" i="41"/>
  <c r="Q12" i="41" s="1"/>
  <c r="O12" i="41"/>
  <c r="P23" i="41"/>
  <c r="Q23" i="41" s="1"/>
  <c r="O23" i="41"/>
  <c r="P31" i="41"/>
  <c r="Q31" i="41" s="1"/>
  <c r="O31" i="41"/>
  <c r="P13" i="41"/>
  <c r="Q13" i="41" s="1"/>
  <c r="O13" i="41"/>
  <c r="P24" i="41"/>
  <c r="Q24" i="41" s="1"/>
  <c r="O24" i="41"/>
  <c r="P32" i="41"/>
  <c r="Q32" i="41" s="1"/>
  <c r="O32" i="41"/>
  <c r="O11" i="41"/>
  <c r="P11" i="41"/>
  <c r="Q11" i="41" s="1"/>
  <c r="P14" i="41"/>
  <c r="Q14" i="41" s="1"/>
  <c r="O14" i="41"/>
  <c r="P15" i="41"/>
  <c r="Q15" i="41" s="1"/>
  <c r="O15" i="41"/>
  <c r="P26" i="41"/>
  <c r="Q26" i="41" s="1"/>
  <c r="O26" i="41"/>
  <c r="P34" i="41"/>
  <c r="Q34" i="41" s="1"/>
  <c r="O34" i="41"/>
  <c r="P25" i="41"/>
  <c r="Q25" i="41" s="1"/>
  <c r="O25" i="41"/>
  <c r="P19" i="41"/>
  <c r="Q19" i="41" s="1"/>
  <c r="O19" i="41"/>
  <c r="P35" i="41"/>
  <c r="Q35" i="41" s="1"/>
  <c r="O35" i="41"/>
  <c r="P33" i="41"/>
  <c r="Q33" i="41" s="1"/>
  <c r="O33" i="41"/>
  <c r="P16" i="41"/>
  <c r="Q16" i="41" s="1"/>
  <c r="O16" i="41"/>
  <c r="P27" i="41"/>
  <c r="Q27" i="41" s="1"/>
  <c r="O27" i="41"/>
  <c r="P10" i="41"/>
  <c r="Q10" i="41" s="1"/>
  <c r="O10" i="41"/>
  <c r="P20" i="41"/>
  <c r="Q20" i="41" s="1"/>
  <c r="O20" i="41"/>
  <c r="P28" i="41"/>
  <c r="Q28" i="41" s="1"/>
  <c r="O28" i="41"/>
  <c r="P36" i="41"/>
  <c r="Q36" i="41" s="1"/>
  <c r="O36" i="41"/>
  <c r="P22" i="41"/>
  <c r="Q22" i="41" s="1"/>
  <c r="O22" i="41"/>
  <c r="P30" i="41"/>
  <c r="Q30" i="41" s="1"/>
  <c r="O30" i="41"/>
  <c r="P38" i="41"/>
  <c r="Q38" i="41" s="1"/>
  <c r="O38" i="41"/>
  <c r="P17" i="41"/>
  <c r="Q17" i="41" s="1"/>
  <c r="R17" i="41" s="1"/>
  <c r="O18" i="41"/>
  <c r="B10" i="41"/>
  <c r="P18" i="41"/>
  <c r="Q18" i="41" s="1"/>
  <c r="E9" i="41"/>
  <c r="X7" i="39"/>
  <c r="M37" i="39"/>
  <c r="M11" i="39"/>
  <c r="M12" i="39"/>
  <c r="M13" i="39"/>
  <c r="M14" i="39"/>
  <c r="M15" i="39"/>
  <c r="M16" i="39"/>
  <c r="M17" i="39"/>
  <c r="M18" i="39"/>
  <c r="M20" i="39"/>
  <c r="M21" i="39"/>
  <c r="M22" i="39"/>
  <c r="M23" i="39"/>
  <c r="M24" i="39"/>
  <c r="M25" i="39"/>
  <c r="M26" i="39"/>
  <c r="M27" i="39"/>
  <c r="M28" i="39"/>
  <c r="M29" i="39"/>
  <c r="M30" i="39"/>
  <c r="M31" i="39"/>
  <c r="M32" i="39"/>
  <c r="M33" i="39"/>
  <c r="M34" i="39"/>
  <c r="M35" i="39"/>
  <c r="M36" i="39"/>
  <c r="M9" i="39"/>
  <c r="M10" i="39"/>
  <c r="D11" i="51" l="1"/>
  <c r="B12" i="51"/>
  <c r="A11" i="51"/>
  <c r="E11" i="51"/>
  <c r="R39" i="49"/>
  <c r="R39" i="44"/>
  <c r="D11" i="50"/>
  <c r="B12" i="50"/>
  <c r="A11" i="50"/>
  <c r="E11" i="50"/>
  <c r="B13" i="49"/>
  <c r="E12" i="49"/>
  <c r="A12" i="49"/>
  <c r="D12" i="49"/>
  <c r="D11" i="48"/>
  <c r="B12" i="48"/>
  <c r="E11" i="48"/>
  <c r="A11" i="48"/>
  <c r="B13" i="47"/>
  <c r="A12" i="47"/>
  <c r="E12" i="47"/>
  <c r="D12" i="47"/>
  <c r="D11" i="46"/>
  <c r="B12" i="46"/>
  <c r="A11" i="46"/>
  <c r="E11" i="46"/>
  <c r="D11" i="45"/>
  <c r="B12" i="45"/>
  <c r="A11" i="45"/>
  <c r="E11" i="45"/>
  <c r="E12" i="44"/>
  <c r="B13" i="44"/>
  <c r="A12" i="44"/>
  <c r="D12" i="44"/>
  <c r="B13" i="43"/>
  <c r="A12" i="43"/>
  <c r="E12" i="43"/>
  <c r="D12" i="43"/>
  <c r="R38" i="42"/>
  <c r="R15" i="42"/>
  <c r="R23" i="42"/>
  <c r="R22" i="42"/>
  <c r="R34" i="42"/>
  <c r="R32" i="42"/>
  <c r="R13" i="42"/>
  <c r="R26" i="42"/>
  <c r="R24" i="42"/>
  <c r="R12" i="42"/>
  <c r="R20" i="42"/>
  <c r="R31" i="42"/>
  <c r="R21" i="42"/>
  <c r="R35" i="42"/>
  <c r="R18" i="42"/>
  <c r="R25" i="42"/>
  <c r="R19" i="42"/>
  <c r="R29" i="42"/>
  <c r="R33" i="42"/>
  <c r="R14" i="42"/>
  <c r="R11" i="42"/>
  <c r="R39" i="42"/>
  <c r="R36" i="42"/>
  <c r="R27" i="42"/>
  <c r="R37" i="42"/>
  <c r="R28" i="42"/>
  <c r="D11" i="42"/>
  <c r="A11" i="42"/>
  <c r="E11" i="42"/>
  <c r="R29" i="41"/>
  <c r="R22" i="41"/>
  <c r="R10" i="41"/>
  <c r="R35" i="41"/>
  <c r="R26" i="41"/>
  <c r="R32" i="41"/>
  <c r="R30" i="41"/>
  <c r="R37" i="41"/>
  <c r="R28" i="41"/>
  <c r="R16" i="41"/>
  <c r="R25" i="41"/>
  <c r="R14" i="41"/>
  <c r="R13" i="41"/>
  <c r="R12" i="41"/>
  <c r="R38" i="41"/>
  <c r="R20" i="41"/>
  <c r="R33" i="41"/>
  <c r="R34" i="41"/>
  <c r="R31" i="41"/>
  <c r="R36" i="41"/>
  <c r="R27" i="41"/>
  <c r="R19" i="41"/>
  <c r="R15" i="41"/>
  <c r="R24" i="41"/>
  <c r="R23" i="41"/>
  <c r="R21" i="41"/>
  <c r="R18" i="41"/>
  <c r="R11" i="41"/>
  <c r="E10" i="41"/>
  <c r="D10" i="41"/>
  <c r="B11" i="41"/>
  <c r="A10" i="41"/>
  <c r="B44" i="1"/>
  <c r="B41" i="1"/>
  <c r="B40" i="1"/>
  <c r="B42" i="1"/>
  <c r="AI8" i="1" a="1"/>
  <c r="B4" i="49" l="1"/>
  <c r="C25" i="1"/>
  <c r="B4" i="44"/>
  <c r="C20" i="1"/>
  <c r="B13" i="51"/>
  <c r="A12" i="51"/>
  <c r="E12" i="51"/>
  <c r="D12" i="51"/>
  <c r="E12" i="50"/>
  <c r="B13" i="50"/>
  <c r="A12" i="50"/>
  <c r="D12" i="50"/>
  <c r="B14" i="49"/>
  <c r="E13" i="49"/>
  <c r="A13" i="49"/>
  <c r="D13" i="49"/>
  <c r="E12" i="48"/>
  <c r="B13" i="48"/>
  <c r="D12" i="48"/>
  <c r="A12" i="48"/>
  <c r="B14" i="47"/>
  <c r="A13" i="47"/>
  <c r="E13" i="47"/>
  <c r="D13" i="47"/>
  <c r="B13" i="46"/>
  <c r="A12" i="46"/>
  <c r="E12" i="46"/>
  <c r="D12" i="46"/>
  <c r="B13" i="45"/>
  <c r="A12" i="45"/>
  <c r="E12" i="45"/>
  <c r="D12" i="45"/>
  <c r="B14" i="44"/>
  <c r="A13" i="44"/>
  <c r="E13" i="44"/>
  <c r="D13" i="44"/>
  <c r="B14" i="43"/>
  <c r="D13" i="43"/>
  <c r="A13" i="43"/>
  <c r="E13" i="43"/>
  <c r="A12" i="42"/>
  <c r="E12" i="42"/>
  <c r="D12" i="42"/>
  <c r="D11" i="41"/>
  <c r="B12" i="41"/>
  <c r="A11" i="41"/>
  <c r="E11" i="41"/>
  <c r="AI8" i="1"/>
  <c r="B43" i="1"/>
  <c r="AL8" i="1" l="1"/>
  <c r="AM8" i="1" s="1"/>
  <c r="E13" i="51"/>
  <c r="B14" i="51"/>
  <c r="A13" i="51"/>
  <c r="D13" i="51"/>
  <c r="B14" i="50"/>
  <c r="A13" i="50"/>
  <c r="E13" i="50"/>
  <c r="D13" i="50"/>
  <c r="B15" i="49"/>
  <c r="A14" i="49"/>
  <c r="E14" i="49"/>
  <c r="D14" i="49"/>
  <c r="E13" i="48"/>
  <c r="B14" i="48"/>
  <c r="D13" i="48"/>
  <c r="A13" i="48"/>
  <c r="B15" i="47"/>
  <c r="A14" i="47"/>
  <c r="E14" i="47"/>
  <c r="D14" i="47"/>
  <c r="B14" i="46"/>
  <c r="A13" i="46"/>
  <c r="D13" i="46"/>
  <c r="E13" i="46"/>
  <c r="B14" i="45"/>
  <c r="A13" i="45"/>
  <c r="E13" i="45"/>
  <c r="D13" i="45"/>
  <c r="B15" i="44"/>
  <c r="E14" i="44"/>
  <c r="A14" i="44"/>
  <c r="D14" i="44"/>
  <c r="B15" i="43"/>
  <c r="A14" i="43"/>
  <c r="E14" i="43"/>
  <c r="D14" i="43"/>
  <c r="A13" i="42"/>
  <c r="E13" i="42"/>
  <c r="D13" i="42"/>
  <c r="A12" i="41"/>
  <c r="B13" i="41"/>
  <c r="E12" i="41"/>
  <c r="D12" i="41"/>
  <c r="AK8" i="1"/>
  <c r="B9" i="39"/>
  <c r="AN8" i="1" l="1"/>
  <c r="B15" i="51"/>
  <c r="A14" i="51"/>
  <c r="E14" i="51"/>
  <c r="D14" i="51"/>
  <c r="B15" i="50"/>
  <c r="E14" i="50"/>
  <c r="A14" i="50"/>
  <c r="D14" i="50"/>
  <c r="B16" i="49"/>
  <c r="A15" i="49"/>
  <c r="E15" i="49"/>
  <c r="D15" i="49"/>
  <c r="E14" i="48"/>
  <c r="B15" i="48"/>
  <c r="A14" i="48"/>
  <c r="D14" i="48"/>
  <c r="B16" i="47"/>
  <c r="A15" i="47"/>
  <c r="E15" i="47"/>
  <c r="D15" i="47"/>
  <c r="B15" i="46"/>
  <c r="A14" i="46"/>
  <c r="E14" i="46"/>
  <c r="D14" i="46"/>
  <c r="B15" i="45"/>
  <c r="A14" i="45"/>
  <c r="E14" i="45"/>
  <c r="D14" i="45"/>
  <c r="B16" i="44"/>
  <c r="E15" i="44"/>
  <c r="A15" i="44"/>
  <c r="D15" i="44"/>
  <c r="B16" i="43"/>
  <c r="A15" i="43"/>
  <c r="E15" i="43"/>
  <c r="D15" i="43"/>
  <c r="A14" i="42"/>
  <c r="E14" i="42"/>
  <c r="D14" i="42"/>
  <c r="E13" i="41"/>
  <c r="A13" i="41"/>
  <c r="B14" i="41"/>
  <c r="D13" i="41"/>
  <c r="N37" i="39"/>
  <c r="O37" i="39" s="1"/>
  <c r="AU7" i="1"/>
  <c r="AU5" i="1"/>
  <c r="C14" i="1" l="1"/>
  <c r="D14" i="1" s="1"/>
  <c r="B16" i="51"/>
  <c r="A15" i="51"/>
  <c r="D15" i="51"/>
  <c r="E15" i="51"/>
  <c r="B16" i="50"/>
  <c r="E15" i="50"/>
  <c r="A15" i="50"/>
  <c r="D15" i="50"/>
  <c r="B17" i="49"/>
  <c r="A16" i="49"/>
  <c r="E16" i="49"/>
  <c r="D16" i="49"/>
  <c r="E15" i="48"/>
  <c r="B16" i="48"/>
  <c r="A15" i="48"/>
  <c r="D15" i="48"/>
  <c r="B17" i="47"/>
  <c r="A16" i="47"/>
  <c r="E16" i="47"/>
  <c r="D16" i="47"/>
  <c r="B16" i="46"/>
  <c r="A15" i="46"/>
  <c r="D15" i="46"/>
  <c r="E15" i="46"/>
  <c r="B16" i="45"/>
  <c r="A15" i="45"/>
  <c r="D15" i="45"/>
  <c r="E15" i="45"/>
  <c r="B17" i="44"/>
  <c r="A16" i="44"/>
  <c r="D16" i="44"/>
  <c r="E16" i="44"/>
  <c r="D16" i="43"/>
  <c r="B17" i="43"/>
  <c r="A16" i="43"/>
  <c r="E16" i="43"/>
  <c r="A15" i="42"/>
  <c r="E15" i="42"/>
  <c r="D15" i="42"/>
  <c r="B15" i="41"/>
  <c r="E14" i="41"/>
  <c r="A14" i="41"/>
  <c r="D14" i="41"/>
  <c r="P37" i="39"/>
  <c r="Q37" i="39" s="1"/>
  <c r="R37" i="39" s="1"/>
  <c r="AU8" i="1"/>
  <c r="E16" i="51" l="1"/>
  <c r="B17" i="51"/>
  <c r="A16" i="51"/>
  <c r="D16" i="51"/>
  <c r="B17" i="50"/>
  <c r="E16" i="50"/>
  <c r="A16" i="50"/>
  <c r="D16" i="50"/>
  <c r="B18" i="49"/>
  <c r="A17" i="49"/>
  <c r="D17" i="49"/>
  <c r="E17" i="49"/>
  <c r="B17" i="48"/>
  <c r="A16" i="48"/>
  <c r="E16" i="48"/>
  <c r="D16" i="48"/>
  <c r="B18" i="47"/>
  <c r="A17" i="47"/>
  <c r="E17" i="47"/>
  <c r="D17" i="47"/>
  <c r="B17" i="46"/>
  <c r="A16" i="46"/>
  <c r="E16" i="46"/>
  <c r="D16" i="46"/>
  <c r="B17" i="45"/>
  <c r="A16" i="45"/>
  <c r="E16" i="45"/>
  <c r="D16" i="45"/>
  <c r="B18" i="44"/>
  <c r="A17" i="44"/>
  <c r="D17" i="44"/>
  <c r="E17" i="44"/>
  <c r="B18" i="43"/>
  <c r="D17" i="43"/>
  <c r="A17" i="43"/>
  <c r="E17" i="43"/>
  <c r="E16" i="42"/>
  <c r="A16" i="42"/>
  <c r="D16" i="42"/>
  <c r="A15" i="41"/>
  <c r="E15" i="41"/>
  <c r="B16" i="41"/>
  <c r="D15" i="41"/>
  <c r="B18" i="51" l="1"/>
  <c r="A17" i="51"/>
  <c r="E17" i="51"/>
  <c r="D17" i="51"/>
  <c r="B18" i="50"/>
  <c r="D17" i="50"/>
  <c r="A17" i="50"/>
  <c r="E17" i="50"/>
  <c r="A18" i="49"/>
  <c r="E18" i="49"/>
  <c r="D18" i="49"/>
  <c r="B19" i="49"/>
  <c r="B18" i="48"/>
  <c r="A17" i="48"/>
  <c r="D17" i="48"/>
  <c r="E17" i="48"/>
  <c r="A18" i="47"/>
  <c r="E18" i="47"/>
  <c r="D18" i="47"/>
  <c r="B19" i="47"/>
  <c r="B18" i="46"/>
  <c r="A17" i="46"/>
  <c r="E17" i="46"/>
  <c r="D17" i="46"/>
  <c r="B18" i="45"/>
  <c r="A17" i="45"/>
  <c r="E17" i="45"/>
  <c r="D17" i="45"/>
  <c r="A18" i="44"/>
  <c r="B19" i="44"/>
  <c r="E18" i="44"/>
  <c r="D18" i="44"/>
  <c r="B19" i="43"/>
  <c r="A18" i="43"/>
  <c r="E18" i="43"/>
  <c r="D18" i="43"/>
  <c r="A17" i="42"/>
  <c r="E17" i="42"/>
  <c r="D17" i="42"/>
  <c r="B17" i="41"/>
  <c r="A16" i="41"/>
  <c r="E16" i="41"/>
  <c r="D16" i="41"/>
  <c r="AM13" i="1"/>
  <c r="AL12" i="1"/>
  <c r="AL15" i="1" s="1"/>
  <c r="AL20" i="1" s="1"/>
  <c r="A18" i="51" l="1"/>
  <c r="E18" i="51"/>
  <c r="D18" i="51"/>
  <c r="B19" i="51"/>
  <c r="A18" i="50"/>
  <c r="E18" i="50"/>
  <c r="D18" i="50"/>
  <c r="B19" i="50"/>
  <c r="A19" i="49"/>
  <c r="E19" i="49"/>
  <c r="D19" i="49"/>
  <c r="B20" i="49"/>
  <c r="A18" i="48"/>
  <c r="E18" i="48"/>
  <c r="D18" i="48"/>
  <c r="B19" i="48"/>
  <c r="A19" i="47"/>
  <c r="D19" i="47"/>
  <c r="E19" i="47"/>
  <c r="B20" i="47"/>
  <c r="A18" i="46"/>
  <c r="E18" i="46"/>
  <c r="D18" i="46"/>
  <c r="B19" i="46"/>
  <c r="A18" i="45"/>
  <c r="D18" i="45"/>
  <c r="E18" i="45"/>
  <c r="B19" i="45"/>
  <c r="A19" i="44"/>
  <c r="B20" i="44"/>
  <c r="E19" i="44"/>
  <c r="D19" i="44"/>
  <c r="A19" i="43"/>
  <c r="B20" i="43"/>
  <c r="E19" i="43"/>
  <c r="D19" i="43"/>
  <c r="A18" i="42"/>
  <c r="E18" i="42"/>
  <c r="D18" i="42"/>
  <c r="B18" i="41"/>
  <c r="A17" i="41"/>
  <c r="E17" i="41"/>
  <c r="D17" i="41"/>
  <c r="AL16" i="1"/>
  <c r="AL24" i="1" s="1"/>
  <c r="AL13" i="1"/>
  <c r="AL17" i="1"/>
  <c r="AL21" i="1"/>
  <c r="AL18" i="1"/>
  <c r="A19" i="51" l="1"/>
  <c r="E19" i="51"/>
  <c r="D19" i="51"/>
  <c r="B20" i="51"/>
  <c r="A19" i="50"/>
  <c r="E19" i="50"/>
  <c r="D19" i="50"/>
  <c r="B20" i="50"/>
  <c r="A20" i="49"/>
  <c r="E20" i="49"/>
  <c r="D20" i="49"/>
  <c r="B21" i="49"/>
  <c r="A19" i="48"/>
  <c r="B20" i="48"/>
  <c r="E19" i="48"/>
  <c r="D19" i="48"/>
  <c r="A20" i="47"/>
  <c r="D20" i="47"/>
  <c r="E20" i="47"/>
  <c r="B21" i="47"/>
  <c r="A19" i="46"/>
  <c r="E19" i="46"/>
  <c r="D19" i="46"/>
  <c r="B20" i="46"/>
  <c r="A19" i="45"/>
  <c r="E19" i="45"/>
  <c r="D19" i="45"/>
  <c r="B20" i="45"/>
  <c r="A20" i="44"/>
  <c r="E20" i="44"/>
  <c r="D20" i="44"/>
  <c r="B21" i="44"/>
  <c r="A20" i="43"/>
  <c r="B21" i="43"/>
  <c r="E20" i="43"/>
  <c r="D20" i="43"/>
  <c r="A19" i="42"/>
  <c r="E19" i="42"/>
  <c r="D19" i="42"/>
  <c r="A18" i="41"/>
  <c r="E18" i="41"/>
  <c r="D18" i="41"/>
  <c r="B19" i="41"/>
  <c r="AL23" i="1"/>
  <c r="AL22" i="1"/>
  <c r="A20" i="51" l="1"/>
  <c r="B21" i="51"/>
  <c r="E20" i="51"/>
  <c r="D20" i="51"/>
  <c r="A20" i="50"/>
  <c r="E20" i="50"/>
  <c r="D20" i="50"/>
  <c r="B21" i="50"/>
  <c r="A21" i="49"/>
  <c r="E21" i="49"/>
  <c r="D21" i="49"/>
  <c r="B22" i="49"/>
  <c r="A20" i="48"/>
  <c r="B21" i="48"/>
  <c r="E20" i="48"/>
  <c r="D20" i="48"/>
  <c r="A21" i="47"/>
  <c r="E21" i="47"/>
  <c r="D21" i="47"/>
  <c r="B22" i="47"/>
  <c r="A20" i="46"/>
  <c r="E20" i="46"/>
  <c r="D20" i="46"/>
  <c r="B21" i="46"/>
  <c r="A20" i="45"/>
  <c r="E20" i="45"/>
  <c r="D20" i="45"/>
  <c r="B21" i="45"/>
  <c r="A21" i="44"/>
  <c r="E21" i="44"/>
  <c r="D21" i="44"/>
  <c r="B22" i="44"/>
  <c r="A21" i="43"/>
  <c r="B22" i="43"/>
  <c r="E21" i="43"/>
  <c r="D21" i="43"/>
  <c r="A20" i="42"/>
  <c r="E20" i="42"/>
  <c r="D20" i="42"/>
  <c r="A19" i="41"/>
  <c r="E19" i="41"/>
  <c r="D19" i="41"/>
  <c r="B20" i="41"/>
  <c r="AL25" i="1"/>
  <c r="AL26" i="1" s="1"/>
  <c r="AL28" i="1" s="1"/>
  <c r="AL31" i="1" s="1"/>
  <c r="A21" i="51" l="1"/>
  <c r="E21" i="51"/>
  <c r="D21" i="51"/>
  <c r="B22" i="51"/>
  <c r="A21" i="50"/>
  <c r="E21" i="50"/>
  <c r="D21" i="50"/>
  <c r="B22" i="50"/>
  <c r="A22" i="49"/>
  <c r="E22" i="49"/>
  <c r="D22" i="49"/>
  <c r="B23" i="49"/>
  <c r="A21" i="48"/>
  <c r="E21" i="48"/>
  <c r="B22" i="48"/>
  <c r="D21" i="48"/>
  <c r="A22" i="47"/>
  <c r="D22" i="47"/>
  <c r="E22" i="47"/>
  <c r="B23" i="47"/>
  <c r="A21" i="46"/>
  <c r="E21" i="46"/>
  <c r="D21" i="46"/>
  <c r="B22" i="46"/>
  <c r="A21" i="45"/>
  <c r="E21" i="45"/>
  <c r="D21" i="45"/>
  <c r="B22" i="45"/>
  <c r="A22" i="44"/>
  <c r="B23" i="44"/>
  <c r="E22" i="44"/>
  <c r="D22" i="44"/>
  <c r="A22" i="43"/>
  <c r="E22" i="43"/>
  <c r="D22" i="43"/>
  <c r="B23" i="43"/>
  <c r="A21" i="42"/>
  <c r="E21" i="42"/>
  <c r="D21" i="42"/>
  <c r="A20" i="41"/>
  <c r="E20" i="41"/>
  <c r="D20" i="41"/>
  <c r="B21" i="41"/>
  <c r="AL27" i="1"/>
  <c r="A22" i="51" l="1"/>
  <c r="B23" i="51"/>
  <c r="E22" i="51"/>
  <c r="D22" i="51"/>
  <c r="A22" i="50"/>
  <c r="E22" i="50"/>
  <c r="D22" i="50"/>
  <c r="B23" i="50"/>
  <c r="A23" i="49"/>
  <c r="E23" i="49"/>
  <c r="D23" i="49"/>
  <c r="B24" i="49"/>
  <c r="A22" i="48"/>
  <c r="E22" i="48"/>
  <c r="B23" i="48"/>
  <c r="D22" i="48"/>
  <c r="A23" i="47"/>
  <c r="D23" i="47"/>
  <c r="E23" i="47"/>
  <c r="B24" i="47"/>
  <c r="A22" i="46"/>
  <c r="E22" i="46"/>
  <c r="D22" i="46"/>
  <c r="B23" i="46"/>
  <c r="A22" i="45"/>
  <c r="E22" i="45"/>
  <c r="D22" i="45"/>
  <c r="B23" i="45"/>
  <c r="A23" i="44"/>
  <c r="E23" i="44"/>
  <c r="D23" i="44"/>
  <c r="B24" i="44"/>
  <c r="A23" i="43"/>
  <c r="E23" i="43"/>
  <c r="D23" i="43"/>
  <c r="B24" i="43"/>
  <c r="A22" i="42"/>
  <c r="E22" i="42"/>
  <c r="D22" i="42"/>
  <c r="A21" i="41"/>
  <c r="E21" i="41"/>
  <c r="D21" i="41"/>
  <c r="B22" i="41"/>
  <c r="AL29" i="1"/>
  <c r="AL32" i="1"/>
  <c r="A23" i="51" l="1"/>
  <c r="B24" i="51"/>
  <c r="E23" i="51"/>
  <c r="D23" i="51"/>
  <c r="A23" i="50"/>
  <c r="E23" i="50"/>
  <c r="D23" i="50"/>
  <c r="B24" i="50"/>
  <c r="A24" i="49"/>
  <c r="E24" i="49"/>
  <c r="D24" i="49"/>
  <c r="B25" i="49"/>
  <c r="A23" i="48"/>
  <c r="E23" i="48"/>
  <c r="D23" i="48"/>
  <c r="B24" i="48"/>
  <c r="A24" i="47"/>
  <c r="E24" i="47"/>
  <c r="D24" i="47"/>
  <c r="B25" i="47"/>
  <c r="A23" i="46"/>
  <c r="E23" i="46"/>
  <c r="D23" i="46"/>
  <c r="B24" i="46"/>
  <c r="A23" i="45"/>
  <c r="E23" i="45"/>
  <c r="D23" i="45"/>
  <c r="B24" i="45"/>
  <c r="A24" i="44"/>
  <c r="B25" i="44"/>
  <c r="E24" i="44"/>
  <c r="D24" i="44"/>
  <c r="A24" i="43"/>
  <c r="B25" i="43"/>
  <c r="E24" i="43"/>
  <c r="D24" i="43"/>
  <c r="A23" i="42"/>
  <c r="E23" i="42"/>
  <c r="D23" i="42"/>
  <c r="A22" i="41"/>
  <c r="E22" i="41"/>
  <c r="D22" i="41"/>
  <c r="B23" i="41"/>
  <c r="AN37" i="1"/>
  <c r="AM37" i="1"/>
  <c r="B35" i="1" s="1"/>
  <c r="A24" i="51" l="1"/>
  <c r="B25" i="51"/>
  <c r="E24" i="51"/>
  <c r="D24" i="51"/>
  <c r="A24" i="50"/>
  <c r="E24" i="50"/>
  <c r="D24" i="50"/>
  <c r="B25" i="50"/>
  <c r="A25" i="49"/>
  <c r="E25" i="49"/>
  <c r="D25" i="49"/>
  <c r="B26" i="49"/>
  <c r="A24" i="48"/>
  <c r="E24" i="48"/>
  <c r="B25" i="48"/>
  <c r="D24" i="48"/>
  <c r="A25" i="47"/>
  <c r="D25" i="47"/>
  <c r="E25" i="47"/>
  <c r="B26" i="47"/>
  <c r="A24" i="46"/>
  <c r="E24" i="46"/>
  <c r="D24" i="46"/>
  <c r="B25" i="46"/>
  <c r="A24" i="45"/>
  <c r="E24" i="45"/>
  <c r="D24" i="45"/>
  <c r="B25" i="45"/>
  <c r="A25" i="44"/>
  <c r="B26" i="44"/>
  <c r="E25" i="44"/>
  <c r="D25" i="44"/>
  <c r="A25" i="43"/>
  <c r="E25" i="43"/>
  <c r="B26" i="43"/>
  <c r="D25" i="43"/>
  <c r="A24" i="42"/>
  <c r="E24" i="42"/>
  <c r="D24" i="42"/>
  <c r="A23" i="41"/>
  <c r="E23" i="41"/>
  <c r="D23" i="41"/>
  <c r="B24" i="41"/>
  <c r="AM36" i="1"/>
  <c r="B34" i="1" s="1"/>
  <c r="AM39" i="1"/>
  <c r="AM40" i="1" s="1"/>
  <c r="AM41" i="1" s="1"/>
  <c r="AM35" i="1"/>
  <c r="B33" i="1" s="1"/>
  <c r="AM38" i="1"/>
  <c r="B36" i="1" s="1"/>
  <c r="AN48" i="1"/>
  <c r="AN42" i="1"/>
  <c r="AN47" i="1"/>
  <c r="AN36" i="1"/>
  <c r="AN35" i="1"/>
  <c r="AN45" i="1"/>
  <c r="AN38" i="1"/>
  <c r="A25" i="51" l="1"/>
  <c r="B26" i="51"/>
  <c r="E25" i="51"/>
  <c r="D25" i="51"/>
  <c r="A25" i="50"/>
  <c r="E25" i="50"/>
  <c r="D25" i="50"/>
  <c r="B26" i="50"/>
  <c r="A26" i="49"/>
  <c r="E26" i="49"/>
  <c r="D26" i="49"/>
  <c r="B27" i="49"/>
  <c r="A25" i="48"/>
  <c r="B26" i="48"/>
  <c r="E25" i="48"/>
  <c r="D25" i="48"/>
  <c r="A26" i="47"/>
  <c r="D26" i="47"/>
  <c r="E26" i="47"/>
  <c r="B27" i="47"/>
  <c r="A25" i="46"/>
  <c r="E25" i="46"/>
  <c r="D25" i="46"/>
  <c r="B26" i="46"/>
  <c r="A25" i="45"/>
  <c r="E25" i="45"/>
  <c r="D25" i="45"/>
  <c r="B26" i="45"/>
  <c r="A26" i="44"/>
  <c r="B27" i="44"/>
  <c r="E26" i="44"/>
  <c r="D26" i="44"/>
  <c r="A26" i="43"/>
  <c r="E26" i="43"/>
  <c r="B27" i="43"/>
  <c r="D26" i="43"/>
  <c r="A25" i="42"/>
  <c r="E25" i="42"/>
  <c r="D25" i="42"/>
  <c r="A24" i="41"/>
  <c r="E24" i="41"/>
  <c r="D24" i="41"/>
  <c r="B25" i="41"/>
  <c r="AM43" i="1"/>
  <c r="AM44" i="1" s="1"/>
  <c r="AM42" i="1"/>
  <c r="A26" i="51" l="1"/>
  <c r="B27" i="51"/>
  <c r="E26" i="51"/>
  <c r="D26" i="51"/>
  <c r="A26" i="50"/>
  <c r="E26" i="50"/>
  <c r="D26" i="50"/>
  <c r="B27" i="50"/>
  <c r="A27" i="49"/>
  <c r="E27" i="49"/>
  <c r="D27" i="49"/>
  <c r="B28" i="49"/>
  <c r="A26" i="48"/>
  <c r="B27" i="48"/>
  <c r="E26" i="48"/>
  <c r="D26" i="48"/>
  <c r="A27" i="47"/>
  <c r="E27" i="47"/>
  <c r="D27" i="47"/>
  <c r="B28" i="47"/>
  <c r="A26" i="46"/>
  <c r="E26" i="46"/>
  <c r="D26" i="46"/>
  <c r="B27" i="46"/>
  <c r="A26" i="45"/>
  <c r="E26" i="45"/>
  <c r="D26" i="45"/>
  <c r="B27" i="45"/>
  <c r="A27" i="44"/>
  <c r="B28" i="44"/>
  <c r="E27" i="44"/>
  <c r="D27" i="44"/>
  <c r="A27" i="43"/>
  <c r="E27" i="43"/>
  <c r="D27" i="43"/>
  <c r="B28" i="43"/>
  <c r="A26" i="42"/>
  <c r="E26" i="42"/>
  <c r="D26" i="42"/>
  <c r="A25" i="41"/>
  <c r="E25" i="41"/>
  <c r="D25" i="41"/>
  <c r="B26" i="41"/>
  <c r="AM46" i="1"/>
  <c r="AM47" i="1" s="1"/>
  <c r="AM45" i="1"/>
  <c r="B37" i="1" s="1"/>
  <c r="A27" i="51" l="1"/>
  <c r="B28" i="51"/>
  <c r="E27" i="51"/>
  <c r="D27" i="51"/>
  <c r="A27" i="50"/>
  <c r="E27" i="50"/>
  <c r="D27" i="50"/>
  <c r="B28" i="50"/>
  <c r="A28" i="49"/>
  <c r="E28" i="49"/>
  <c r="D28" i="49"/>
  <c r="B29" i="49"/>
  <c r="A27" i="48"/>
  <c r="E27" i="48"/>
  <c r="D27" i="48"/>
  <c r="B28" i="48"/>
  <c r="A28" i="47"/>
  <c r="E28" i="47"/>
  <c r="D28" i="47"/>
  <c r="B29" i="47"/>
  <c r="A27" i="46"/>
  <c r="E27" i="46"/>
  <c r="D27" i="46"/>
  <c r="B28" i="46"/>
  <c r="A27" i="45"/>
  <c r="E27" i="45"/>
  <c r="D27" i="45"/>
  <c r="B28" i="45"/>
  <c r="A28" i="44"/>
  <c r="E28" i="44"/>
  <c r="D28" i="44"/>
  <c r="B29" i="44"/>
  <c r="A28" i="43"/>
  <c r="B29" i="43"/>
  <c r="E28" i="43"/>
  <c r="D28" i="43"/>
  <c r="A27" i="42"/>
  <c r="E27" i="42"/>
  <c r="D27" i="42"/>
  <c r="A26" i="41"/>
  <c r="E26" i="41"/>
  <c r="D26" i="41"/>
  <c r="B27" i="41"/>
  <c r="AM48" i="1"/>
  <c r="B39" i="1" s="1"/>
  <c r="B38" i="1"/>
  <c r="A28" i="51" l="1"/>
  <c r="B29" i="51"/>
  <c r="E28" i="51"/>
  <c r="D28" i="51"/>
  <c r="A28" i="50"/>
  <c r="E28" i="50"/>
  <c r="D28" i="50"/>
  <c r="B29" i="50"/>
  <c r="A29" i="49"/>
  <c r="E29" i="49"/>
  <c r="D29" i="49"/>
  <c r="B30" i="49"/>
  <c r="A28" i="48"/>
  <c r="E28" i="48"/>
  <c r="D28" i="48"/>
  <c r="B29" i="48"/>
  <c r="A29" i="47"/>
  <c r="D29" i="47"/>
  <c r="E29" i="47"/>
  <c r="B30" i="47"/>
  <c r="C28" i="47" a="1"/>
  <c r="C28" i="47" s="1"/>
  <c r="A28" i="46"/>
  <c r="E28" i="46"/>
  <c r="D28" i="46"/>
  <c r="B29" i="46"/>
  <c r="A28" i="45"/>
  <c r="E28" i="45"/>
  <c r="D28" i="45"/>
  <c r="B29" i="45"/>
  <c r="A29" i="44"/>
  <c r="E29" i="44"/>
  <c r="D29" i="44"/>
  <c r="B30" i="44"/>
  <c r="C28" i="44" a="1"/>
  <c r="C28" i="44" s="1"/>
  <c r="A29" i="43"/>
  <c r="E29" i="43"/>
  <c r="B30" i="43"/>
  <c r="D29" i="43"/>
  <c r="A28" i="42"/>
  <c r="E28" i="42"/>
  <c r="D28" i="42"/>
  <c r="A27" i="41"/>
  <c r="E27" i="41"/>
  <c r="D27" i="41"/>
  <c r="B28" i="41"/>
  <c r="B31" i="1"/>
  <c r="B32" i="1"/>
  <c r="B16" i="1"/>
  <c r="A9" i="39"/>
  <c r="N36" i="39"/>
  <c r="N35" i="39"/>
  <c r="N34" i="39"/>
  <c r="N33" i="39"/>
  <c r="N32" i="39"/>
  <c r="O32" i="39" s="1"/>
  <c r="N31" i="39"/>
  <c r="N30" i="39"/>
  <c r="O30" i="39" s="1"/>
  <c r="N29" i="39"/>
  <c r="N28" i="39"/>
  <c r="N27" i="39"/>
  <c r="N25" i="39"/>
  <c r="N24" i="39"/>
  <c r="O24" i="39" s="1"/>
  <c r="N23" i="39"/>
  <c r="N22" i="39"/>
  <c r="N21" i="39"/>
  <c r="N20" i="39"/>
  <c r="X17" i="39"/>
  <c r="N17" i="39"/>
  <c r="N16" i="39"/>
  <c r="N15" i="39"/>
  <c r="O15" i="39" s="1"/>
  <c r="N14" i="39"/>
  <c r="N13" i="39"/>
  <c r="O13" i="39" s="1"/>
  <c r="X11" i="39"/>
  <c r="X16" i="39" s="1"/>
  <c r="N10" i="39"/>
  <c r="X9" i="39"/>
  <c r="X10" i="39" s="1"/>
  <c r="N9" i="39"/>
  <c r="B5" i="39"/>
  <c r="C27" i="48" l="1" a="1"/>
  <c r="C27" i="48" s="1"/>
  <c r="C27" i="51" a="1"/>
  <c r="C27" i="51" s="1"/>
  <c r="C26" i="41" a="1"/>
  <c r="C26" i="41" s="1"/>
  <c r="C28" i="43" a="1"/>
  <c r="C28" i="43" s="1"/>
  <c r="C27" i="42" a="1"/>
  <c r="C27" i="42" s="1"/>
  <c r="C29" i="47" a="1"/>
  <c r="C29" i="47" s="1"/>
  <c r="C28" i="49" a="1"/>
  <c r="C28" i="49" s="1"/>
  <c r="C27" i="45" a="1"/>
  <c r="C27" i="45" s="1"/>
  <c r="C27" i="46" a="1"/>
  <c r="C27" i="46" s="1"/>
  <c r="C9" i="44" a="1"/>
  <c r="C9" i="44" s="1"/>
  <c r="C9" i="48" a="1"/>
  <c r="C9" i="48" s="1"/>
  <c r="C9" i="43" a="1"/>
  <c r="C9" i="43" s="1"/>
  <c r="C9" i="45" a="1"/>
  <c r="C9" i="45" s="1"/>
  <c r="C9" i="46" a="1"/>
  <c r="C9" i="46" s="1"/>
  <c r="C9" i="49" a="1"/>
  <c r="C9" i="49" s="1"/>
  <c r="C9" i="47" a="1"/>
  <c r="C9" i="47" s="1"/>
  <c r="C9" i="51" a="1"/>
  <c r="C9" i="51" s="1"/>
  <c r="C9" i="50" a="1"/>
  <c r="C9" i="50" s="1"/>
  <c r="C10" i="43" a="1"/>
  <c r="C10" i="43" s="1"/>
  <c r="C10" i="49" a="1"/>
  <c r="C10" i="49" s="1"/>
  <c r="C10" i="44" a="1"/>
  <c r="C10" i="44" s="1"/>
  <c r="C10" i="47" a="1"/>
  <c r="C10" i="47" s="1"/>
  <c r="C9" i="42" a="1"/>
  <c r="C9" i="42" s="1"/>
  <c r="C10" i="45" a="1"/>
  <c r="C10" i="45" s="1"/>
  <c r="C11" i="44" a="1"/>
  <c r="C11" i="44" s="1"/>
  <c r="C10" i="42" a="1"/>
  <c r="C10" i="42" s="1"/>
  <c r="C10" i="51" a="1"/>
  <c r="C10" i="51" s="1"/>
  <c r="C11" i="43" a="1"/>
  <c r="C11" i="43" s="1"/>
  <c r="C10" i="50" a="1"/>
  <c r="C10" i="50" s="1"/>
  <c r="C10" i="48" a="1"/>
  <c r="C10" i="48" s="1"/>
  <c r="C10" i="46" a="1"/>
  <c r="C10" i="46" s="1"/>
  <c r="C11" i="49" a="1"/>
  <c r="C11" i="49" s="1"/>
  <c r="C11" i="47" a="1"/>
  <c r="C11" i="47" s="1"/>
  <c r="C11" i="42" a="1"/>
  <c r="C11" i="42" s="1"/>
  <c r="C10" i="41" a="1"/>
  <c r="C10" i="41" s="1"/>
  <c r="C12" i="49" a="1"/>
  <c r="C12" i="49" s="1"/>
  <c r="C12" i="47" a="1"/>
  <c r="C12" i="47" s="1"/>
  <c r="C11" i="45" a="1"/>
  <c r="C11" i="45" s="1"/>
  <c r="C11" i="51" a="1"/>
  <c r="C11" i="51" s="1"/>
  <c r="C11" i="46" a="1"/>
  <c r="C11" i="46" s="1"/>
  <c r="C12" i="44" a="1"/>
  <c r="C12" i="44" s="1"/>
  <c r="C11" i="50" a="1"/>
  <c r="C11" i="50" s="1"/>
  <c r="C12" i="43" a="1"/>
  <c r="C12" i="43" s="1"/>
  <c r="C11" i="48" a="1"/>
  <c r="C11" i="48" s="1"/>
  <c r="C13" i="44" a="1"/>
  <c r="C13" i="44" s="1"/>
  <c r="G13" i="44" s="1"/>
  <c r="L13" i="44" s="1"/>
  <c r="C13" i="49" a="1"/>
  <c r="C13" i="49" s="1"/>
  <c r="C12" i="48" a="1"/>
  <c r="C12" i="48" s="1"/>
  <c r="C13" i="43" a="1"/>
  <c r="C13" i="43" s="1"/>
  <c r="C11" i="41" a="1"/>
  <c r="C11" i="41" s="1"/>
  <c r="C12" i="42" a="1"/>
  <c r="C12" i="42" s="1"/>
  <c r="C13" i="47" a="1"/>
  <c r="C13" i="47" s="1"/>
  <c r="C12" i="46" a="1"/>
  <c r="C12" i="46" s="1"/>
  <c r="C12" i="50" a="1"/>
  <c r="C12" i="50" s="1"/>
  <c r="C12" i="51" a="1"/>
  <c r="C12" i="51" s="1"/>
  <c r="C12" i="45" a="1"/>
  <c r="C12" i="45" s="1"/>
  <c r="C14" i="49" a="1"/>
  <c r="C14" i="49" s="1"/>
  <c r="C13" i="48" a="1"/>
  <c r="C13" i="48" s="1"/>
  <c r="C14" i="44" a="1"/>
  <c r="C14" i="44" s="1"/>
  <c r="C14" i="43" a="1"/>
  <c r="C14" i="43" s="1"/>
  <c r="C13" i="46" a="1"/>
  <c r="C13" i="46" s="1"/>
  <c r="C14" i="47" a="1"/>
  <c r="C14" i="47" s="1"/>
  <c r="C13" i="50" a="1"/>
  <c r="C13" i="50" s="1"/>
  <c r="C13" i="45" a="1"/>
  <c r="C13" i="45" s="1"/>
  <c r="C13" i="42" a="1"/>
  <c r="C13" i="42" s="1"/>
  <c r="C13" i="51" a="1"/>
  <c r="C13" i="51" s="1"/>
  <c r="C12" i="41" a="1"/>
  <c r="C12" i="41" s="1"/>
  <c r="C14" i="51" a="1"/>
  <c r="C14" i="51" s="1"/>
  <c r="C15" i="49" a="1"/>
  <c r="C15" i="49" s="1"/>
  <c r="C15" i="43" a="1"/>
  <c r="C15" i="43" s="1"/>
  <c r="C14" i="46" a="1"/>
  <c r="C14" i="46" s="1"/>
  <c r="C13" i="41" a="1"/>
  <c r="C13" i="41" s="1"/>
  <c r="C14" i="50" a="1"/>
  <c r="C14" i="50" s="1"/>
  <c r="C14" i="48" a="1"/>
  <c r="C14" i="48" s="1"/>
  <c r="C15" i="47" a="1"/>
  <c r="C15" i="47" s="1"/>
  <c r="C15" i="44" a="1"/>
  <c r="C15" i="44" s="1"/>
  <c r="C14" i="42" a="1"/>
  <c r="C14" i="42" s="1"/>
  <c r="C14" i="45" a="1"/>
  <c r="C14" i="45" s="1"/>
  <c r="C16" i="44" a="1"/>
  <c r="C16" i="44" s="1"/>
  <c r="C16" i="43" a="1"/>
  <c r="C16" i="43" s="1"/>
  <c r="C14" i="41" a="1"/>
  <c r="C14" i="41" s="1"/>
  <c r="C15" i="50" a="1"/>
  <c r="C15" i="50" s="1"/>
  <c r="C15" i="48" a="1"/>
  <c r="C15" i="48" s="1"/>
  <c r="C16" i="49" a="1"/>
  <c r="C16" i="49" s="1"/>
  <c r="C16" i="47" a="1"/>
  <c r="C16" i="47" s="1"/>
  <c r="C15" i="42" a="1"/>
  <c r="C15" i="42" s="1"/>
  <c r="C15" i="51" a="1"/>
  <c r="C15" i="51" s="1"/>
  <c r="C15" i="46" a="1"/>
  <c r="C15" i="46" s="1"/>
  <c r="C15" i="45" a="1"/>
  <c r="C15" i="45" s="1"/>
  <c r="C16" i="50" a="1"/>
  <c r="C16" i="50" s="1"/>
  <c r="C16" i="48" a="1"/>
  <c r="C16" i="48" s="1"/>
  <c r="C17" i="49" a="1"/>
  <c r="C17" i="49" s="1"/>
  <c r="C17" i="43" a="1"/>
  <c r="C17" i="43" s="1"/>
  <c r="C17" i="44" a="1"/>
  <c r="C17" i="44" s="1"/>
  <c r="C17" i="47" a="1"/>
  <c r="C17" i="47" s="1"/>
  <c r="C15" i="41" a="1"/>
  <c r="C15" i="41" s="1"/>
  <c r="C16" i="51" a="1"/>
  <c r="C16" i="51" s="1"/>
  <c r="C16" i="45" a="1"/>
  <c r="C16" i="45" s="1"/>
  <c r="C16" i="42" a="1"/>
  <c r="C16" i="42" s="1"/>
  <c r="C16" i="46" a="1"/>
  <c r="C16" i="46" s="1"/>
  <c r="C18" i="47" a="1"/>
  <c r="C18" i="47" s="1"/>
  <c r="C18" i="43" a="1"/>
  <c r="C18" i="43" s="1"/>
  <c r="C17" i="42" a="1"/>
  <c r="C17" i="42" s="1"/>
  <c r="C17" i="50" a="1"/>
  <c r="C17" i="50" s="1"/>
  <c r="C18" i="49" a="1"/>
  <c r="C18" i="49" s="1"/>
  <c r="C16" i="41" a="1"/>
  <c r="C16" i="41" s="1"/>
  <c r="C17" i="48" a="1"/>
  <c r="C17" i="48" s="1"/>
  <c r="C17" i="45" a="1"/>
  <c r="C17" i="45" s="1"/>
  <c r="C17" i="46" a="1"/>
  <c r="C17" i="46" s="1"/>
  <c r="C17" i="51" a="1"/>
  <c r="C17" i="51" s="1"/>
  <c r="C18" i="44" a="1"/>
  <c r="C18" i="44" s="1"/>
  <c r="C19" i="44" a="1"/>
  <c r="C19" i="44" s="1"/>
  <c r="C18" i="48" a="1"/>
  <c r="C18" i="48" s="1"/>
  <c r="C19" i="43" a="1"/>
  <c r="C19" i="43" s="1"/>
  <c r="C17" i="41" a="1"/>
  <c r="C17" i="41" s="1"/>
  <c r="C18" i="51" a="1"/>
  <c r="C18" i="51" s="1"/>
  <c r="C18" i="45" a="1"/>
  <c r="C18" i="45" s="1"/>
  <c r="C19" i="47" a="1"/>
  <c r="C19" i="47" s="1"/>
  <c r="C18" i="46" a="1"/>
  <c r="C18" i="46" s="1"/>
  <c r="C18" i="50" a="1"/>
  <c r="C18" i="50" s="1"/>
  <c r="C18" i="42" a="1"/>
  <c r="C18" i="42" s="1"/>
  <c r="C19" i="49" a="1"/>
  <c r="C19" i="49" s="1"/>
  <c r="C19" i="51" a="1"/>
  <c r="C19" i="51" s="1"/>
  <c r="C19" i="45" a="1"/>
  <c r="C19" i="45" s="1"/>
  <c r="C20" i="44" a="1"/>
  <c r="C20" i="44" s="1"/>
  <c r="C18" i="41" a="1"/>
  <c r="C18" i="41" s="1"/>
  <c r="C20" i="49" a="1"/>
  <c r="C20" i="49" s="1"/>
  <c r="C19" i="48" a="1"/>
  <c r="C19" i="48" s="1"/>
  <c r="C19" i="42" a="1"/>
  <c r="C19" i="42" s="1"/>
  <c r="C20" i="47" a="1"/>
  <c r="C20" i="47" s="1"/>
  <c r="C20" i="43" a="1"/>
  <c r="C20" i="43" s="1"/>
  <c r="C19" i="50" a="1"/>
  <c r="C19" i="50" s="1"/>
  <c r="C19" i="46" a="1"/>
  <c r="C19" i="46" s="1"/>
  <c r="C21" i="49" a="1"/>
  <c r="C21" i="49" s="1"/>
  <c r="C21" i="44" a="1"/>
  <c r="C21" i="44" s="1"/>
  <c r="C20" i="45" a="1"/>
  <c r="C20" i="45" s="1"/>
  <c r="C20" i="48" a="1"/>
  <c r="C20" i="48" s="1"/>
  <c r="C21" i="43" a="1"/>
  <c r="C21" i="43" s="1"/>
  <c r="C21" i="47" a="1"/>
  <c r="C21" i="47" s="1"/>
  <c r="C20" i="51" a="1"/>
  <c r="C20" i="51" s="1"/>
  <c r="C20" i="46" a="1"/>
  <c r="C20" i="46" s="1"/>
  <c r="C20" i="50" a="1"/>
  <c r="C20" i="50" s="1"/>
  <c r="C20" i="42" a="1"/>
  <c r="C20" i="42" s="1"/>
  <c r="C19" i="41" a="1"/>
  <c r="C19" i="41" s="1"/>
  <c r="C21" i="48" a="1"/>
  <c r="C21" i="48" s="1"/>
  <c r="C21" i="50" a="1"/>
  <c r="C21" i="50" s="1"/>
  <c r="C22" i="43" a="1"/>
  <c r="C22" i="43" s="1"/>
  <c r="C22" i="47" a="1"/>
  <c r="C22" i="47" s="1"/>
  <c r="C21" i="42" a="1"/>
  <c r="C21" i="42" s="1"/>
  <c r="C21" i="46" a="1"/>
  <c r="C21" i="46" s="1"/>
  <c r="C21" i="45" a="1"/>
  <c r="C21" i="45" s="1"/>
  <c r="C22" i="44" a="1"/>
  <c r="C22" i="44" s="1"/>
  <c r="C21" i="51" a="1"/>
  <c r="C21" i="51" s="1"/>
  <c r="C20" i="41" a="1"/>
  <c r="C20" i="41" s="1"/>
  <c r="C22" i="49" a="1"/>
  <c r="C22" i="49" s="1"/>
  <c r="C22" i="48" a="1"/>
  <c r="C22" i="48" s="1"/>
  <c r="C22" i="46" a="1"/>
  <c r="C22" i="46" s="1"/>
  <c r="C23" i="49" a="1"/>
  <c r="C23" i="49" s="1"/>
  <c r="C22" i="50" a="1"/>
  <c r="C22" i="50" s="1"/>
  <c r="C23" i="43" a="1"/>
  <c r="C23" i="43" s="1"/>
  <c r="C22" i="42" a="1"/>
  <c r="C22" i="42" s="1"/>
  <c r="C21" i="41" a="1"/>
  <c r="C21" i="41" s="1"/>
  <c r="C23" i="47" a="1"/>
  <c r="C23" i="47" s="1"/>
  <c r="C22" i="45" a="1"/>
  <c r="C22" i="45" s="1"/>
  <c r="C23" i="44" a="1"/>
  <c r="C23" i="44" s="1"/>
  <c r="C22" i="51" a="1"/>
  <c r="C22" i="51" s="1"/>
  <c r="C23" i="48" a="1"/>
  <c r="C23" i="48" s="1"/>
  <c r="C24" i="44" a="1"/>
  <c r="C24" i="44" s="1"/>
  <c r="C24" i="49" a="1"/>
  <c r="C24" i="49" s="1"/>
  <c r="C23" i="50" a="1"/>
  <c r="C23" i="50" s="1"/>
  <c r="C24" i="47" a="1"/>
  <c r="C24" i="47" s="1"/>
  <c r="C24" i="43" a="1"/>
  <c r="C24" i="43" s="1"/>
  <c r="C23" i="42" a="1"/>
  <c r="C23" i="42" s="1"/>
  <c r="C23" i="51" a="1"/>
  <c r="C23" i="51" s="1"/>
  <c r="C23" i="46" a="1"/>
  <c r="C23" i="46" s="1"/>
  <c r="C22" i="41" a="1"/>
  <c r="C22" i="41" s="1"/>
  <c r="C23" i="45" a="1"/>
  <c r="C23" i="45" s="1"/>
  <c r="C25" i="44" a="1"/>
  <c r="C25" i="44" s="1"/>
  <c r="C24" i="51" a="1"/>
  <c r="C24" i="51" s="1"/>
  <c r="C24" i="46" a="1"/>
  <c r="C24" i="46" s="1"/>
  <c r="C24" i="42" a="1"/>
  <c r="C24" i="42" s="1"/>
  <c r="C23" i="41" a="1"/>
  <c r="C23" i="41" s="1"/>
  <c r="C25" i="43" a="1"/>
  <c r="C25" i="43" s="1"/>
  <c r="C25" i="47" a="1"/>
  <c r="C25" i="47" s="1"/>
  <c r="C24" i="50" a="1"/>
  <c r="C24" i="50" s="1"/>
  <c r="C24" i="45" a="1"/>
  <c r="C24" i="45" s="1"/>
  <c r="C25" i="49" a="1"/>
  <c r="C25" i="49" s="1"/>
  <c r="C24" i="48" a="1"/>
  <c r="C24" i="48" s="1"/>
  <c r="C25" i="45" a="1"/>
  <c r="C25" i="45" s="1"/>
  <c r="C26" i="47" a="1"/>
  <c r="C26" i="47" s="1"/>
  <c r="C25" i="51" a="1"/>
  <c r="C25" i="51" s="1"/>
  <c r="C26" i="44" a="1"/>
  <c r="C26" i="44" s="1"/>
  <c r="C26" i="43" a="1"/>
  <c r="C26" i="43" s="1"/>
  <c r="C24" i="41" a="1"/>
  <c r="C24" i="41" s="1"/>
  <c r="C25" i="50" a="1"/>
  <c r="C25" i="50" s="1"/>
  <c r="C25" i="48" a="1"/>
  <c r="C25" i="48" s="1"/>
  <c r="C25" i="46" a="1"/>
  <c r="C25" i="46" s="1"/>
  <c r="C25" i="42" a="1"/>
  <c r="C25" i="42" s="1"/>
  <c r="C26" i="49" a="1"/>
  <c r="C26" i="49" s="1"/>
  <c r="C26" i="51" a="1"/>
  <c r="C26" i="51" s="1"/>
  <c r="C27" i="47" a="1"/>
  <c r="C27" i="47" s="1"/>
  <c r="C26" i="45" a="1"/>
  <c r="C26" i="45" s="1"/>
  <c r="C27" i="44" a="1"/>
  <c r="C27" i="44" s="1"/>
  <c r="C27" i="43" a="1"/>
  <c r="C27" i="43" s="1"/>
  <c r="C27" i="49" a="1"/>
  <c r="C27" i="49" s="1"/>
  <c r="C26" i="46" a="1"/>
  <c r="C26" i="46" s="1"/>
  <c r="C26" i="42" a="1"/>
  <c r="C26" i="42" s="1"/>
  <c r="C26" i="50" a="1"/>
  <c r="C26" i="50" s="1"/>
  <c r="C25" i="41" a="1"/>
  <c r="C25" i="41" s="1"/>
  <c r="C26" i="48" a="1"/>
  <c r="C26" i="48" s="1"/>
  <c r="C27" i="50" a="1"/>
  <c r="C27" i="50" s="1"/>
  <c r="C28" i="50" a="1"/>
  <c r="C28" i="50" s="1"/>
  <c r="C28" i="48" a="1"/>
  <c r="C28" i="48" s="1"/>
  <c r="C28" i="46" a="1"/>
  <c r="C28" i="46" s="1"/>
  <c r="C29" i="43" a="1"/>
  <c r="C29" i="43" s="1"/>
  <c r="C28" i="51" a="1"/>
  <c r="C28" i="51" s="1"/>
  <c r="A29" i="51"/>
  <c r="B30" i="51"/>
  <c r="E29" i="51"/>
  <c r="D29" i="51"/>
  <c r="A29" i="50"/>
  <c r="E29" i="50"/>
  <c r="D29" i="50"/>
  <c r="B30" i="50"/>
  <c r="A30" i="49"/>
  <c r="E30" i="49"/>
  <c r="D30" i="49"/>
  <c r="B31" i="49"/>
  <c r="C29" i="49" a="1"/>
  <c r="C29" i="49" s="1"/>
  <c r="A29" i="48"/>
  <c r="E29" i="48"/>
  <c r="B30" i="48"/>
  <c r="D29" i="48"/>
  <c r="A30" i="47"/>
  <c r="E30" i="47"/>
  <c r="D30" i="47"/>
  <c r="B31" i="47"/>
  <c r="A29" i="46"/>
  <c r="E29" i="46"/>
  <c r="D29" i="46"/>
  <c r="B30" i="46"/>
  <c r="C28" i="45" a="1"/>
  <c r="C28" i="45" s="1"/>
  <c r="A29" i="45"/>
  <c r="E29" i="45"/>
  <c r="D29" i="45"/>
  <c r="B30" i="45"/>
  <c r="A30" i="44"/>
  <c r="E30" i="44"/>
  <c r="D30" i="44"/>
  <c r="B31" i="44"/>
  <c r="C29" i="44" a="1"/>
  <c r="C29" i="44" s="1"/>
  <c r="A30" i="43"/>
  <c r="E30" i="43"/>
  <c r="B31" i="43"/>
  <c r="D30" i="43"/>
  <c r="A29" i="42"/>
  <c r="E29" i="42"/>
  <c r="D29" i="42"/>
  <c r="C28" i="42" a="1"/>
  <c r="C28" i="42" s="1"/>
  <c r="C27" i="41" a="1"/>
  <c r="C27" i="41" s="1"/>
  <c r="A28" i="41"/>
  <c r="E28" i="41"/>
  <c r="D28" i="41"/>
  <c r="B29" i="41"/>
  <c r="D9" i="39"/>
  <c r="X18" i="39"/>
  <c r="O22" i="39"/>
  <c r="P22" i="39"/>
  <c r="Q22" i="39" s="1"/>
  <c r="P13" i="39"/>
  <c r="Q13" i="39" s="1"/>
  <c r="R13" i="39" s="1"/>
  <c r="P30" i="39"/>
  <c r="Q30" i="39" s="1"/>
  <c r="R30" i="39" s="1"/>
  <c r="P28" i="39"/>
  <c r="Q28" i="39" s="1"/>
  <c r="O28" i="39"/>
  <c r="O35" i="39"/>
  <c r="P35" i="39"/>
  <c r="Q35" i="39" s="1"/>
  <c r="P36" i="39"/>
  <c r="Q36" i="39" s="1"/>
  <c r="O36" i="39"/>
  <c r="O9" i="39"/>
  <c r="P9" i="39"/>
  <c r="Q9" i="39" s="1"/>
  <c r="P25" i="39"/>
  <c r="Q25" i="39" s="1"/>
  <c r="O25" i="39"/>
  <c r="N18" i="39"/>
  <c r="P18" i="39" s="1"/>
  <c r="Q18" i="39" s="1"/>
  <c r="P33" i="39"/>
  <c r="Q33" i="39" s="1"/>
  <c r="O33" i="39"/>
  <c r="P10" i="39"/>
  <c r="Q10" i="39" s="1"/>
  <c r="O10" i="39"/>
  <c r="P20" i="39"/>
  <c r="Q20" i="39" s="1"/>
  <c r="O20" i="39"/>
  <c r="O27" i="39"/>
  <c r="P27" i="39"/>
  <c r="Q27" i="39" s="1"/>
  <c r="O34" i="39"/>
  <c r="P34" i="39"/>
  <c r="Q34" i="39" s="1"/>
  <c r="P16" i="39"/>
  <c r="Q16" i="39" s="1"/>
  <c r="O16" i="39"/>
  <c r="P15" i="39"/>
  <c r="Q15" i="39" s="1"/>
  <c r="R15" i="39" s="1"/>
  <c r="O21" i="39"/>
  <c r="P24" i="39"/>
  <c r="Q24" i="39" s="1"/>
  <c r="R24" i="39" s="1"/>
  <c r="O29" i="39"/>
  <c r="P32" i="39"/>
  <c r="Q32" i="39" s="1"/>
  <c r="R32" i="39" s="1"/>
  <c r="P21" i="39"/>
  <c r="Q21" i="39" s="1"/>
  <c r="P29" i="39"/>
  <c r="Q29" i="39" s="1"/>
  <c r="E9" i="39"/>
  <c r="O14" i="39"/>
  <c r="O17" i="39"/>
  <c r="O23" i="39"/>
  <c r="O31" i="39"/>
  <c r="P14" i="39"/>
  <c r="Q14" i="39" s="1"/>
  <c r="P17" i="39"/>
  <c r="Q17" i="39" s="1"/>
  <c r="P23" i="39"/>
  <c r="Q23" i="39" s="1"/>
  <c r="P31" i="39"/>
  <c r="Q31" i="39" s="1"/>
  <c r="B6" i="39"/>
  <c r="A16" i="1" s="1"/>
  <c r="B10" i="39"/>
  <c r="C29" i="48" l="1" a="1"/>
  <c r="C29" i="48" s="1"/>
  <c r="C30" i="49" a="1"/>
  <c r="C30" i="49" s="1"/>
  <c r="C29" i="46" a="1"/>
  <c r="C29" i="46" s="1"/>
  <c r="C29" i="45" a="1"/>
  <c r="C29" i="45" s="1"/>
  <c r="C29" i="51" a="1"/>
  <c r="C29" i="51" s="1"/>
  <c r="A30" i="51"/>
  <c r="E30" i="51"/>
  <c r="D30" i="51"/>
  <c r="B31" i="51"/>
  <c r="A30" i="50"/>
  <c r="E30" i="50"/>
  <c r="D30" i="50"/>
  <c r="B31" i="50"/>
  <c r="C29" i="50" a="1"/>
  <c r="C29" i="50" s="1"/>
  <c r="A31" i="49"/>
  <c r="E31" i="49"/>
  <c r="D31" i="49"/>
  <c r="B32" i="49"/>
  <c r="A30" i="48"/>
  <c r="E30" i="48"/>
  <c r="D30" i="48"/>
  <c r="B31" i="48"/>
  <c r="A31" i="47"/>
  <c r="E31" i="47"/>
  <c r="D31" i="47"/>
  <c r="B32" i="47"/>
  <c r="C30" i="47" a="1"/>
  <c r="C30" i="47" s="1"/>
  <c r="A30" i="46"/>
  <c r="E30" i="46"/>
  <c r="D30" i="46"/>
  <c r="B31" i="46"/>
  <c r="A30" i="45"/>
  <c r="E30" i="45"/>
  <c r="D30" i="45"/>
  <c r="B31" i="45"/>
  <c r="A31" i="44"/>
  <c r="B32" i="44"/>
  <c r="E31" i="44"/>
  <c r="D31" i="44"/>
  <c r="C30" i="44" a="1"/>
  <c r="C30" i="44" s="1"/>
  <c r="A31" i="43"/>
  <c r="E31" i="43"/>
  <c r="B32" i="43"/>
  <c r="D31" i="43"/>
  <c r="C30" i="43" a="1"/>
  <c r="C30" i="43" s="1"/>
  <c r="A30" i="42"/>
  <c r="E30" i="42"/>
  <c r="D30" i="42"/>
  <c r="C29" i="42" a="1"/>
  <c r="C29" i="42" s="1"/>
  <c r="A29" i="41"/>
  <c r="E29" i="41"/>
  <c r="D29" i="41"/>
  <c r="B30" i="41"/>
  <c r="C28" i="41" a="1"/>
  <c r="C28" i="41" s="1"/>
  <c r="C9" i="39" a="1"/>
  <c r="C9" i="39" s="1"/>
  <c r="O18" i="39"/>
  <c r="R18" i="39" s="1"/>
  <c r="R34" i="39"/>
  <c r="R33" i="39"/>
  <c r="R17" i="39"/>
  <c r="R27" i="39"/>
  <c r="R28" i="39"/>
  <c r="R21" i="39"/>
  <c r="R10" i="39"/>
  <c r="R29" i="39"/>
  <c r="R35" i="39"/>
  <c r="R25" i="39"/>
  <c r="R14" i="39"/>
  <c r="R31" i="39"/>
  <c r="R20" i="39"/>
  <c r="R9" i="39"/>
  <c r="R36" i="39"/>
  <c r="R22" i="39"/>
  <c r="R23" i="39"/>
  <c r="R16" i="39"/>
  <c r="A10" i="39"/>
  <c r="B11" i="39"/>
  <c r="D10" i="39"/>
  <c r="E10" i="39"/>
  <c r="N10" i="1"/>
  <c r="C30" i="50" l="1" a="1"/>
  <c r="C30" i="50" s="1"/>
  <c r="A31" i="51"/>
  <c r="B32" i="51"/>
  <c r="E31" i="51"/>
  <c r="D31" i="51"/>
  <c r="C30" i="51" a="1"/>
  <c r="C30" i="51" s="1"/>
  <c r="A31" i="50"/>
  <c r="E31" i="50"/>
  <c r="D31" i="50"/>
  <c r="B32" i="50"/>
  <c r="A32" i="49"/>
  <c r="E32" i="49"/>
  <c r="D32" i="49"/>
  <c r="B33" i="49"/>
  <c r="C31" i="49" a="1"/>
  <c r="C31" i="49" s="1"/>
  <c r="A31" i="48"/>
  <c r="E31" i="48"/>
  <c r="B32" i="48"/>
  <c r="D31" i="48"/>
  <c r="C30" i="48" a="1"/>
  <c r="C30" i="48" s="1"/>
  <c r="A32" i="47"/>
  <c r="E32" i="47"/>
  <c r="D32" i="47"/>
  <c r="B33" i="47"/>
  <c r="C31" i="47" a="1"/>
  <c r="C31" i="47" s="1"/>
  <c r="A31" i="46"/>
  <c r="E31" i="46"/>
  <c r="D31" i="46"/>
  <c r="B32" i="46"/>
  <c r="C30" i="46" a="1"/>
  <c r="C30" i="46" s="1"/>
  <c r="C30" i="45" a="1"/>
  <c r="C30" i="45" s="1"/>
  <c r="A31" i="45"/>
  <c r="E31" i="45"/>
  <c r="D31" i="45"/>
  <c r="B32" i="45"/>
  <c r="C31" i="44" a="1"/>
  <c r="C31" i="44" s="1"/>
  <c r="A32" i="44"/>
  <c r="B33" i="44"/>
  <c r="E32" i="44"/>
  <c r="D32" i="44"/>
  <c r="A32" i="43"/>
  <c r="B33" i="43"/>
  <c r="E32" i="43"/>
  <c r="D32" i="43"/>
  <c r="C31" i="43" a="1"/>
  <c r="C31" i="43" s="1"/>
  <c r="A31" i="42"/>
  <c r="E31" i="42"/>
  <c r="D31" i="42"/>
  <c r="C30" i="42" a="1"/>
  <c r="C30" i="42" s="1"/>
  <c r="A30" i="41"/>
  <c r="E30" i="41"/>
  <c r="D30" i="41"/>
  <c r="B31" i="41"/>
  <c r="C29" i="41" a="1"/>
  <c r="C29" i="41" s="1"/>
  <c r="C10" i="39" a="1"/>
  <c r="C10" i="39" s="1"/>
  <c r="D20" i="1"/>
  <c r="E11" i="39"/>
  <c r="D11" i="39"/>
  <c r="A11" i="39"/>
  <c r="B12" i="39"/>
  <c r="C32" i="43" l="1" a="1"/>
  <c r="C32" i="43" s="1"/>
  <c r="C32" i="49" a="1"/>
  <c r="C32" i="49" s="1"/>
  <c r="C31" i="51" a="1"/>
  <c r="C31" i="51" s="1"/>
  <c r="A32" i="51"/>
  <c r="B33" i="51"/>
  <c r="E32" i="51"/>
  <c r="D32" i="51"/>
  <c r="C31" i="50" a="1"/>
  <c r="C31" i="50" s="1"/>
  <c r="A32" i="50"/>
  <c r="E32" i="50"/>
  <c r="D32" i="50"/>
  <c r="B33" i="50"/>
  <c r="B34" i="50" s="1"/>
  <c r="A33" i="49"/>
  <c r="E33" i="49"/>
  <c r="D33" i="49"/>
  <c r="B34" i="49"/>
  <c r="A32" i="48"/>
  <c r="B33" i="48"/>
  <c r="B34" i="48" s="1"/>
  <c r="E32" i="48"/>
  <c r="D32" i="48"/>
  <c r="C31" i="48" a="1"/>
  <c r="C31" i="48" s="1"/>
  <c r="A33" i="47"/>
  <c r="E33" i="47"/>
  <c r="D33" i="47"/>
  <c r="B34" i="47"/>
  <c r="C32" i="47" a="1"/>
  <c r="C32" i="47" s="1"/>
  <c r="A32" i="46"/>
  <c r="E32" i="46"/>
  <c r="D32" i="46"/>
  <c r="B33" i="46"/>
  <c r="C31" i="46" a="1"/>
  <c r="C31" i="46" s="1"/>
  <c r="C31" i="45" a="1"/>
  <c r="C31" i="45" s="1"/>
  <c r="A32" i="45"/>
  <c r="E32" i="45"/>
  <c r="D32" i="45"/>
  <c r="B33" i="45"/>
  <c r="C32" i="44" a="1"/>
  <c r="C32" i="44" s="1"/>
  <c r="A33" i="44"/>
  <c r="E33" i="44"/>
  <c r="D33" i="44"/>
  <c r="B34" i="44"/>
  <c r="A33" i="43"/>
  <c r="B34" i="43"/>
  <c r="E33" i="43"/>
  <c r="D33" i="43"/>
  <c r="A32" i="42"/>
  <c r="E32" i="42"/>
  <c r="D32" i="42"/>
  <c r="C31" i="42" a="1"/>
  <c r="C31" i="42" s="1"/>
  <c r="C30" i="41" a="1"/>
  <c r="C30" i="41" s="1"/>
  <c r="A31" i="41"/>
  <c r="E31" i="41"/>
  <c r="D31" i="41"/>
  <c r="B32" i="41"/>
  <c r="C11" i="39" a="1"/>
  <c r="C11" i="39" s="1"/>
  <c r="D25" i="1"/>
  <c r="B13" i="39"/>
  <c r="E12" i="39"/>
  <c r="A12" i="39"/>
  <c r="D12" i="39"/>
  <c r="M10" i="1"/>
  <c r="K10" i="1"/>
  <c r="L10" i="1"/>
  <c r="C33" i="49" l="1" a="1"/>
  <c r="C33" i="49" s="1"/>
  <c r="A34" i="50"/>
  <c r="B35" i="50"/>
  <c r="E34" i="50"/>
  <c r="D34" i="50"/>
  <c r="C32" i="45" a="1"/>
  <c r="C32" i="45" s="1"/>
  <c r="A34" i="48"/>
  <c r="B35" i="48"/>
  <c r="E34" i="48"/>
  <c r="D34" i="48"/>
  <c r="C33" i="47" a="1"/>
  <c r="C33" i="47" s="1"/>
  <c r="C32" i="51" a="1"/>
  <c r="C32" i="51" s="1"/>
  <c r="A33" i="51"/>
  <c r="B34" i="51"/>
  <c r="E33" i="51"/>
  <c r="D33" i="51"/>
  <c r="C32" i="50" a="1"/>
  <c r="C32" i="50" s="1"/>
  <c r="A33" i="50"/>
  <c r="E33" i="50"/>
  <c r="D33" i="50"/>
  <c r="A34" i="49"/>
  <c r="E34" i="49"/>
  <c r="D34" i="49"/>
  <c r="B35" i="49"/>
  <c r="C32" i="48" a="1"/>
  <c r="C32" i="48" s="1"/>
  <c r="A33" i="48"/>
  <c r="E33" i="48"/>
  <c r="D33" i="48"/>
  <c r="A34" i="47"/>
  <c r="E34" i="47"/>
  <c r="D34" i="47"/>
  <c r="B35" i="47"/>
  <c r="A33" i="46"/>
  <c r="E33" i="46"/>
  <c r="D33" i="46"/>
  <c r="B34" i="46"/>
  <c r="C32" i="46" a="1"/>
  <c r="C32" i="46" s="1"/>
  <c r="A33" i="45"/>
  <c r="E33" i="45"/>
  <c r="D33" i="45"/>
  <c r="B34" i="45"/>
  <c r="A34" i="44"/>
  <c r="E34" i="44"/>
  <c r="D34" i="44"/>
  <c r="B35" i="44"/>
  <c r="C33" i="44" a="1"/>
  <c r="C33" i="44" s="1"/>
  <c r="C33" i="43" a="1"/>
  <c r="C33" i="43" s="1"/>
  <c r="A34" i="43"/>
  <c r="B35" i="43"/>
  <c r="E34" i="43"/>
  <c r="D34" i="43"/>
  <c r="A33" i="42"/>
  <c r="E33" i="42"/>
  <c r="D33" i="42"/>
  <c r="C32" i="42" a="1"/>
  <c r="C32" i="42" s="1"/>
  <c r="A32" i="41"/>
  <c r="E32" i="41"/>
  <c r="D32" i="41"/>
  <c r="B33" i="41"/>
  <c r="C31" i="41" a="1"/>
  <c r="C31" i="41" s="1"/>
  <c r="N11" i="39"/>
  <c r="P11" i="39" s="1"/>
  <c r="Q11" i="39" s="1"/>
  <c r="C12" i="39" a="1"/>
  <c r="C12" i="39" s="1"/>
  <c r="A13" i="39"/>
  <c r="E13" i="39"/>
  <c r="B14" i="39"/>
  <c r="D13" i="39"/>
  <c r="C34" i="48" l="1" a="1"/>
  <c r="C34" i="48" s="1"/>
  <c r="C34" i="47" a="1"/>
  <c r="C34" i="47" s="1"/>
  <c r="C34" i="50" a="1"/>
  <c r="C34" i="50" s="1"/>
  <c r="G34" i="50" s="1"/>
  <c r="L34" i="50" s="1"/>
  <c r="A35" i="50"/>
  <c r="B36" i="50"/>
  <c r="E35" i="50"/>
  <c r="D35" i="50"/>
  <c r="A35" i="48"/>
  <c r="B36" i="48"/>
  <c r="E35" i="48"/>
  <c r="D35" i="48"/>
  <c r="O11" i="39"/>
  <c r="R11" i="39" s="1"/>
  <c r="C34" i="43" a="1"/>
  <c r="C34" i="43" s="1"/>
  <c r="C33" i="51" a="1"/>
  <c r="C33" i="51" s="1"/>
  <c r="A34" i="51"/>
  <c r="E34" i="51"/>
  <c r="B35" i="51"/>
  <c r="D34" i="51"/>
  <c r="C33" i="50" a="1"/>
  <c r="C33" i="50" s="1"/>
  <c r="A35" i="49"/>
  <c r="E35" i="49"/>
  <c r="D35" i="49"/>
  <c r="B36" i="49"/>
  <c r="C34" i="49" a="1"/>
  <c r="C34" i="49" s="1"/>
  <c r="C33" i="48" a="1"/>
  <c r="C33" i="48" s="1"/>
  <c r="A35" i="47"/>
  <c r="E35" i="47"/>
  <c r="D35" i="47"/>
  <c r="B36" i="47"/>
  <c r="A34" i="46"/>
  <c r="E34" i="46"/>
  <c r="D34" i="46"/>
  <c r="B35" i="46"/>
  <c r="B36" i="46" s="1"/>
  <c r="C33" i="46" a="1"/>
  <c r="C33" i="46" s="1"/>
  <c r="A34" i="45"/>
  <c r="E34" i="45"/>
  <c r="D34" i="45"/>
  <c r="B35" i="45"/>
  <c r="C33" i="45" a="1"/>
  <c r="C33" i="45" s="1"/>
  <c r="A35" i="44"/>
  <c r="B36" i="44"/>
  <c r="E35" i="44"/>
  <c r="D35" i="44"/>
  <c r="C34" i="44" a="1"/>
  <c r="C34" i="44" s="1"/>
  <c r="A35" i="43"/>
  <c r="B36" i="43"/>
  <c r="B37" i="43" s="1"/>
  <c r="E35" i="43"/>
  <c r="D35" i="43"/>
  <c r="C33" i="42" a="1"/>
  <c r="C33" i="42" s="1"/>
  <c r="A34" i="42"/>
  <c r="E34" i="42"/>
  <c r="D34" i="42"/>
  <c r="A33" i="41"/>
  <c r="E33" i="41"/>
  <c r="D33" i="41"/>
  <c r="B34" i="41"/>
  <c r="C32" i="41" a="1"/>
  <c r="C32" i="41" s="1"/>
  <c r="N12" i="39"/>
  <c r="O12" i="39" s="1"/>
  <c r="C13" i="39" a="1"/>
  <c r="C13" i="39" s="1"/>
  <c r="E14" i="39"/>
  <c r="A14" i="39"/>
  <c r="D14" i="39"/>
  <c r="B15" i="39"/>
  <c r="C35" i="50" l="1" a="1"/>
  <c r="C35" i="50" s="1"/>
  <c r="C35" i="48" a="1"/>
  <c r="C35" i="48" s="1"/>
  <c r="A36" i="48"/>
  <c r="B37" i="48"/>
  <c r="D36" i="48"/>
  <c r="E36" i="48"/>
  <c r="D36" i="46"/>
  <c r="E36" i="46"/>
  <c r="B37" i="46"/>
  <c r="A36" i="46"/>
  <c r="A36" i="50"/>
  <c r="B37" i="50"/>
  <c r="D36" i="50"/>
  <c r="E36" i="50"/>
  <c r="P12" i="39"/>
  <c r="Q12" i="39" s="1"/>
  <c r="R12" i="39" s="1"/>
  <c r="E37" i="43"/>
  <c r="D37" i="43"/>
  <c r="B38" i="43"/>
  <c r="A37" i="43"/>
  <c r="C34" i="46" a="1"/>
  <c r="C34" i="46" s="1"/>
  <c r="A35" i="51"/>
  <c r="B36" i="51"/>
  <c r="E35" i="51"/>
  <c r="D35" i="51"/>
  <c r="C34" i="51" a="1"/>
  <c r="C34" i="51" s="1"/>
  <c r="A36" i="49"/>
  <c r="E36" i="49"/>
  <c r="D36" i="49"/>
  <c r="B37" i="49"/>
  <c r="C35" i="49" a="1"/>
  <c r="C35" i="49" s="1"/>
  <c r="A36" i="47"/>
  <c r="E36" i="47"/>
  <c r="D36" i="47"/>
  <c r="B37" i="47"/>
  <c r="C35" i="47" a="1"/>
  <c r="C35" i="47" s="1"/>
  <c r="A35" i="46"/>
  <c r="E35" i="46"/>
  <c r="D35" i="46"/>
  <c r="A35" i="45"/>
  <c r="E35" i="45"/>
  <c r="D35" i="45"/>
  <c r="B36" i="45"/>
  <c r="B37" i="45" s="1"/>
  <c r="C34" i="45" a="1"/>
  <c r="C34" i="45" s="1"/>
  <c r="C35" i="44" a="1"/>
  <c r="C35" i="44" s="1"/>
  <c r="A36" i="44"/>
  <c r="B37" i="44"/>
  <c r="E36" i="44"/>
  <c r="D36" i="44"/>
  <c r="C35" i="43" a="1"/>
  <c r="C35" i="43" s="1"/>
  <c r="A36" i="43"/>
  <c r="E36" i="43"/>
  <c r="D36" i="43"/>
  <c r="C34" i="42" a="1"/>
  <c r="C34" i="42" s="1"/>
  <c r="A35" i="42"/>
  <c r="E35" i="42"/>
  <c r="D35" i="42"/>
  <c r="A34" i="41"/>
  <c r="E34" i="41"/>
  <c r="D34" i="41"/>
  <c r="B35" i="41"/>
  <c r="C33" i="41" a="1"/>
  <c r="C33" i="41" s="1"/>
  <c r="C14" i="39" a="1"/>
  <c r="C14" i="39" s="1"/>
  <c r="A15" i="39"/>
  <c r="B16" i="39"/>
  <c r="E15" i="39"/>
  <c r="D15" i="39"/>
  <c r="A37" i="50" l="1"/>
  <c r="B38" i="50"/>
  <c r="D37" i="50"/>
  <c r="E37" i="50"/>
  <c r="C36" i="48" a="1"/>
  <c r="C36" i="48" s="1"/>
  <c r="A37" i="48"/>
  <c r="B38" i="48"/>
  <c r="D37" i="48"/>
  <c r="E37" i="48"/>
  <c r="E37" i="46"/>
  <c r="A37" i="46"/>
  <c r="B38" i="46"/>
  <c r="D37" i="46"/>
  <c r="C36" i="46" a="1"/>
  <c r="C36" i="46" s="1"/>
  <c r="C36" i="50" a="1"/>
  <c r="C36" i="50" s="1"/>
  <c r="E38" i="43"/>
  <c r="A38" i="43"/>
  <c r="D38" i="43"/>
  <c r="B39" i="43"/>
  <c r="C37" i="43" a="1"/>
  <c r="C37" i="43" s="1"/>
  <c r="C36" i="47" a="1"/>
  <c r="C36" i="47" s="1"/>
  <c r="E37" i="45"/>
  <c r="D37" i="45"/>
  <c r="B38" i="45"/>
  <c r="A37" i="45"/>
  <c r="C35" i="51" a="1"/>
  <c r="C35" i="51" s="1"/>
  <c r="A36" i="51"/>
  <c r="B37" i="51"/>
  <c r="B38" i="51" s="1"/>
  <c r="E36" i="51"/>
  <c r="D36" i="51"/>
  <c r="C36" i="49" a="1"/>
  <c r="C36" i="49" s="1"/>
  <c r="A37" i="49"/>
  <c r="E37" i="49"/>
  <c r="D37" i="49"/>
  <c r="B38" i="49"/>
  <c r="A37" i="47"/>
  <c r="E37" i="47"/>
  <c r="D37" i="47"/>
  <c r="B38" i="47"/>
  <c r="C35" i="46" a="1"/>
  <c r="C35" i="46" s="1"/>
  <c r="A36" i="45"/>
  <c r="E36" i="45"/>
  <c r="D36" i="45"/>
  <c r="C35" i="45" a="1"/>
  <c r="C35" i="45" s="1"/>
  <c r="C36" i="44" a="1"/>
  <c r="C36" i="44" s="1"/>
  <c r="A37" i="44"/>
  <c r="B38" i="44"/>
  <c r="E37" i="44"/>
  <c r="D37" i="44"/>
  <c r="C36" i="43" a="1"/>
  <c r="C36" i="43" s="1"/>
  <c r="A36" i="42"/>
  <c r="E36" i="42"/>
  <c r="D36" i="42"/>
  <c r="C35" i="42" a="1"/>
  <c r="C35" i="42" s="1"/>
  <c r="A35" i="41"/>
  <c r="E35" i="41"/>
  <c r="D35" i="41"/>
  <c r="B36" i="41"/>
  <c r="C34" i="41" a="1"/>
  <c r="C34" i="41" s="1"/>
  <c r="C15" i="39" a="1"/>
  <c r="C15" i="39" s="1"/>
  <c r="D16" i="39"/>
  <c r="A16" i="39"/>
  <c r="B17" i="39"/>
  <c r="E16" i="39"/>
  <c r="C37" i="50" l="1" a="1"/>
  <c r="C37" i="50" s="1"/>
  <c r="C37" i="45" a="1"/>
  <c r="C37" i="45" s="1"/>
  <c r="C37" i="48" a="1"/>
  <c r="C37" i="48" s="1"/>
  <c r="D38" i="51"/>
  <c r="E38" i="51"/>
  <c r="B39" i="51"/>
  <c r="A38" i="51"/>
  <c r="A38" i="46"/>
  <c r="B39" i="46"/>
  <c r="D38" i="46"/>
  <c r="E38" i="46"/>
  <c r="A38" i="48"/>
  <c r="B39" i="48"/>
  <c r="D38" i="48"/>
  <c r="E38" i="48"/>
  <c r="C37" i="46" a="1"/>
  <c r="C37" i="46" s="1"/>
  <c r="A38" i="50"/>
  <c r="B39" i="50"/>
  <c r="D38" i="50"/>
  <c r="E38" i="50"/>
  <c r="E39" i="43"/>
  <c r="D39" i="43"/>
  <c r="A39" i="43"/>
  <c r="C38" i="43" a="1"/>
  <c r="C38" i="43" s="1"/>
  <c r="C36" i="45" a="1"/>
  <c r="C36" i="45" s="1"/>
  <c r="E38" i="45"/>
  <c r="D38" i="45"/>
  <c r="B39" i="45"/>
  <c r="A38" i="45"/>
  <c r="C37" i="44" a="1"/>
  <c r="C37" i="44" s="1"/>
  <c r="C36" i="51" a="1"/>
  <c r="C36" i="51" s="1"/>
  <c r="A37" i="51"/>
  <c r="E37" i="51"/>
  <c r="D37" i="51"/>
  <c r="A38" i="49"/>
  <c r="E38" i="49"/>
  <c r="D38" i="49"/>
  <c r="C37" i="49" a="1"/>
  <c r="C37" i="49" s="1"/>
  <c r="A38" i="47"/>
  <c r="D38" i="47"/>
  <c r="E38" i="47"/>
  <c r="C37" i="47" a="1"/>
  <c r="C37" i="47" s="1"/>
  <c r="A38" i="44"/>
  <c r="E38" i="44"/>
  <c r="D38" i="44"/>
  <c r="A37" i="42"/>
  <c r="E37" i="42"/>
  <c r="D37" i="42"/>
  <c r="C36" i="42" a="1"/>
  <c r="C36" i="42" s="1"/>
  <c r="A36" i="41"/>
  <c r="E36" i="41"/>
  <c r="D36" i="41"/>
  <c r="B37" i="41"/>
  <c r="C35" i="41" a="1"/>
  <c r="C35" i="41" s="1"/>
  <c r="C16" i="39" a="1"/>
  <c r="C16" i="39" s="1"/>
  <c r="E17" i="39"/>
  <c r="A17" i="39"/>
  <c r="D17" i="39"/>
  <c r="B18" i="39"/>
  <c r="C38" i="51" l="1" a="1"/>
  <c r="C38" i="51" s="1"/>
  <c r="C38" i="50" a="1"/>
  <c r="C38" i="50" s="1"/>
  <c r="C38" i="46" a="1"/>
  <c r="C38" i="46" s="1"/>
  <c r="C38" i="48" a="1"/>
  <c r="C38" i="48" s="1"/>
  <c r="C39" i="43" a="1"/>
  <c r="C39" i="43" s="1"/>
  <c r="A39" i="46"/>
  <c r="D39" i="46"/>
  <c r="E39" i="46"/>
  <c r="A39" i="50"/>
  <c r="D39" i="50"/>
  <c r="E39" i="50"/>
  <c r="A39" i="48"/>
  <c r="D39" i="48"/>
  <c r="E39" i="48"/>
  <c r="D39" i="51"/>
  <c r="E39" i="51"/>
  <c r="A39" i="51"/>
  <c r="C38" i="49" a="1"/>
  <c r="C38" i="49" s="1"/>
  <c r="E39" i="45"/>
  <c r="D39" i="45"/>
  <c r="A39" i="45"/>
  <c r="C38" i="45" a="1"/>
  <c r="C38" i="45" s="1"/>
  <c r="C37" i="51" a="1"/>
  <c r="C37" i="51" s="1"/>
  <c r="C38" i="47" a="1"/>
  <c r="C38" i="47" s="1"/>
  <c r="C38" i="44" a="1"/>
  <c r="C38" i="44" s="1"/>
  <c r="A38" i="42"/>
  <c r="E38" i="42"/>
  <c r="D38" i="42"/>
  <c r="C37" i="42" a="1"/>
  <c r="C37" i="42" s="1"/>
  <c r="C36" i="41" a="1"/>
  <c r="C36" i="41" s="1"/>
  <c r="A37" i="41"/>
  <c r="E37" i="41"/>
  <c r="D37" i="41"/>
  <c r="B38" i="41"/>
  <c r="C17" i="39" a="1"/>
  <c r="C17" i="39" s="1"/>
  <c r="B19" i="39"/>
  <c r="E18" i="39"/>
  <c r="D18" i="39"/>
  <c r="A18" i="39"/>
  <c r="G33" i="47" l="1"/>
  <c r="L33" i="47" s="1"/>
  <c r="G13" i="48"/>
  <c r="L13" i="48" s="1"/>
  <c r="G30" i="50"/>
  <c r="L30" i="50" s="1"/>
  <c r="G14" i="50"/>
  <c r="L14" i="50" s="1"/>
  <c r="G31" i="50"/>
  <c r="L31" i="50" s="1"/>
  <c r="C39" i="50" a="1"/>
  <c r="C39" i="50" s="1"/>
  <c r="G39" i="50" s="1"/>
  <c r="L39" i="50" s="1"/>
  <c r="C39" i="46" a="1"/>
  <c r="C39" i="46" s="1"/>
  <c r="G34" i="48"/>
  <c r="L34" i="48" s="1"/>
  <c r="G28" i="48"/>
  <c r="L28" i="48" s="1"/>
  <c r="G28" i="50"/>
  <c r="L28" i="50" s="1"/>
  <c r="G32" i="46"/>
  <c r="L32" i="46" s="1"/>
  <c r="G27" i="50"/>
  <c r="L27" i="50" s="1"/>
  <c r="C39" i="51" a="1"/>
  <c r="C39" i="51" s="1"/>
  <c r="G22" i="48"/>
  <c r="L22" i="48" s="1"/>
  <c r="G26" i="50"/>
  <c r="L26" i="50" s="1"/>
  <c r="G13" i="45"/>
  <c r="L13" i="45" s="1"/>
  <c r="G24" i="50"/>
  <c r="L24" i="50" s="1"/>
  <c r="G30" i="45"/>
  <c r="L30" i="45" s="1"/>
  <c r="G25" i="50"/>
  <c r="L25" i="50" s="1"/>
  <c r="G24" i="45"/>
  <c r="L24" i="45" s="1"/>
  <c r="C39" i="45" a="1"/>
  <c r="C39" i="45" s="1"/>
  <c r="G36" i="45" s="1"/>
  <c r="L36" i="45" s="1"/>
  <c r="G21" i="50"/>
  <c r="L21" i="50" s="1"/>
  <c r="G15" i="45"/>
  <c r="L15" i="45" s="1"/>
  <c r="G17" i="50"/>
  <c r="L17" i="50" s="1"/>
  <c r="G35" i="49"/>
  <c r="L35" i="49" s="1"/>
  <c r="G25" i="48"/>
  <c r="L25" i="48" s="1"/>
  <c r="G20" i="48"/>
  <c r="L20" i="48" s="1"/>
  <c r="G11" i="48"/>
  <c r="L11" i="48" s="1"/>
  <c r="G12" i="50"/>
  <c r="L12" i="50" s="1"/>
  <c r="G35" i="47"/>
  <c r="L35" i="47" s="1"/>
  <c r="G29" i="45"/>
  <c r="L29" i="45" s="1"/>
  <c r="G22" i="45"/>
  <c r="L22" i="45" s="1"/>
  <c r="G14" i="45"/>
  <c r="L14" i="45" s="1"/>
  <c r="G36" i="49"/>
  <c r="L36" i="49" s="1"/>
  <c r="G27" i="48"/>
  <c r="L27" i="48" s="1"/>
  <c r="G18" i="48"/>
  <c r="L18" i="48" s="1"/>
  <c r="G9" i="48"/>
  <c r="G35" i="50"/>
  <c r="L35" i="50" s="1"/>
  <c r="G29" i="50"/>
  <c r="L29" i="50" s="1"/>
  <c r="G20" i="50"/>
  <c r="L20" i="50" s="1"/>
  <c r="G13" i="50"/>
  <c r="L13" i="50" s="1"/>
  <c r="G28" i="45"/>
  <c r="L28" i="45" s="1"/>
  <c r="G21" i="45"/>
  <c r="L21" i="45" s="1"/>
  <c r="G10" i="45"/>
  <c r="L10" i="45" s="1"/>
  <c r="G33" i="49"/>
  <c r="L33" i="49" s="1"/>
  <c r="G32" i="49"/>
  <c r="L32" i="49" s="1"/>
  <c r="C39" i="48" a="1"/>
  <c r="C39" i="48" s="1"/>
  <c r="G35" i="48" s="1"/>
  <c r="L35" i="48" s="1"/>
  <c r="G32" i="48"/>
  <c r="L32" i="48" s="1"/>
  <c r="G26" i="48"/>
  <c r="L26" i="48" s="1"/>
  <c r="G17" i="48"/>
  <c r="L17" i="48" s="1"/>
  <c r="G18" i="50"/>
  <c r="L18" i="50" s="1"/>
  <c r="G11" i="50"/>
  <c r="L11" i="50" s="1"/>
  <c r="G31" i="45"/>
  <c r="L31" i="45" s="1"/>
  <c r="G20" i="45"/>
  <c r="L20" i="45" s="1"/>
  <c r="G13" i="46"/>
  <c r="L13" i="46" s="1"/>
  <c r="G15" i="46"/>
  <c r="L15" i="46" s="1"/>
  <c r="G16" i="46"/>
  <c r="L16" i="46" s="1"/>
  <c r="G14" i="46"/>
  <c r="L14" i="46" s="1"/>
  <c r="G19" i="46"/>
  <c r="L19" i="46" s="1"/>
  <c r="G20" i="46"/>
  <c r="L20" i="46" s="1"/>
  <c r="G23" i="46"/>
  <c r="L23" i="46" s="1"/>
  <c r="G22" i="46"/>
  <c r="L22" i="46" s="1"/>
  <c r="G25" i="46"/>
  <c r="L25" i="46" s="1"/>
  <c r="G26" i="46"/>
  <c r="L26" i="46" s="1"/>
  <c r="G27" i="46"/>
  <c r="L27" i="46" s="1"/>
  <c r="G28" i="46"/>
  <c r="L28" i="46" s="1"/>
  <c r="G29" i="46"/>
  <c r="L29" i="46" s="1"/>
  <c r="G30" i="46"/>
  <c r="L30" i="46" s="1"/>
  <c r="G38" i="47"/>
  <c r="L38" i="47" s="1"/>
  <c r="G10" i="50"/>
  <c r="L10" i="50" s="1"/>
  <c r="G27" i="45"/>
  <c r="L27" i="45" s="1"/>
  <c r="G18" i="45"/>
  <c r="G12" i="45"/>
  <c r="L12" i="45" s="1"/>
  <c r="G12" i="49"/>
  <c r="L12" i="49" s="1"/>
  <c r="G13" i="49"/>
  <c r="L13" i="49" s="1"/>
  <c r="G14" i="49"/>
  <c r="L14" i="49" s="1"/>
  <c r="G15" i="49"/>
  <c r="L15" i="49" s="1"/>
  <c r="G18" i="49"/>
  <c r="L18" i="49" s="1"/>
  <c r="G16" i="49"/>
  <c r="L16" i="49" s="1"/>
  <c r="G17" i="49"/>
  <c r="L17" i="49" s="1"/>
  <c r="G19" i="49"/>
  <c r="L19" i="49" s="1"/>
  <c r="G21" i="49"/>
  <c r="L21" i="49" s="1"/>
  <c r="G20" i="49"/>
  <c r="L20" i="49" s="1"/>
  <c r="G23" i="49"/>
  <c r="L23" i="49" s="1"/>
  <c r="G22" i="49"/>
  <c r="L22" i="49" s="1"/>
  <c r="G25" i="49"/>
  <c r="L25" i="49" s="1"/>
  <c r="G24" i="49"/>
  <c r="L24" i="49" s="1"/>
  <c r="G26" i="49"/>
  <c r="L26" i="49" s="1"/>
  <c r="G28" i="49"/>
  <c r="L28" i="49" s="1"/>
  <c r="G27" i="49"/>
  <c r="L27" i="49" s="1"/>
  <c r="G30" i="49"/>
  <c r="L30" i="49" s="1"/>
  <c r="G31" i="49"/>
  <c r="L31" i="49" s="1"/>
  <c r="G29" i="49"/>
  <c r="L29" i="49" s="1"/>
  <c r="G34" i="49"/>
  <c r="L34" i="49" s="1"/>
  <c r="G37" i="49"/>
  <c r="L37" i="49" s="1"/>
  <c r="G31" i="48"/>
  <c r="L31" i="48" s="1"/>
  <c r="G23" i="48"/>
  <c r="L23" i="48" s="1"/>
  <c r="G15" i="48"/>
  <c r="L15" i="48" s="1"/>
  <c r="G19" i="50"/>
  <c r="L19" i="50" s="1"/>
  <c r="G34" i="45"/>
  <c r="L34" i="45" s="1"/>
  <c r="G25" i="45"/>
  <c r="L25" i="45" s="1"/>
  <c r="G17" i="45"/>
  <c r="L17" i="45" s="1"/>
  <c r="G11" i="45"/>
  <c r="L11" i="45" s="1"/>
  <c r="G30" i="48"/>
  <c r="L30" i="48" s="1"/>
  <c r="G21" i="48"/>
  <c r="L21" i="48" s="1"/>
  <c r="G14" i="48"/>
  <c r="L14" i="48" s="1"/>
  <c r="G10" i="47"/>
  <c r="L10" i="47" s="1"/>
  <c r="G9" i="47"/>
  <c r="G12" i="47"/>
  <c r="L12" i="47" s="1"/>
  <c r="G11" i="47"/>
  <c r="L11" i="47" s="1"/>
  <c r="G13" i="47"/>
  <c r="L13" i="47" s="1"/>
  <c r="G14" i="47"/>
  <c r="L14" i="47" s="1"/>
  <c r="G15" i="47"/>
  <c r="L15" i="47" s="1"/>
  <c r="G16" i="47"/>
  <c r="L16" i="47" s="1"/>
  <c r="G18" i="47"/>
  <c r="L18" i="47" s="1"/>
  <c r="G17" i="47"/>
  <c r="L17" i="47" s="1"/>
  <c r="G20" i="47"/>
  <c r="L20" i="47" s="1"/>
  <c r="G19" i="47"/>
  <c r="L19" i="47" s="1"/>
  <c r="G21" i="47"/>
  <c r="L21" i="47" s="1"/>
  <c r="G22" i="47"/>
  <c r="L22" i="47" s="1"/>
  <c r="G23" i="47"/>
  <c r="L23" i="47" s="1"/>
  <c r="G25" i="47"/>
  <c r="L25" i="47" s="1"/>
  <c r="G24" i="47"/>
  <c r="L24" i="47" s="1"/>
  <c r="G27" i="47"/>
  <c r="L27" i="47" s="1"/>
  <c r="G26" i="47"/>
  <c r="L26" i="47" s="1"/>
  <c r="G29" i="47"/>
  <c r="L29" i="47" s="1"/>
  <c r="G30" i="47"/>
  <c r="L30" i="47" s="1"/>
  <c r="G28" i="47"/>
  <c r="L28" i="47" s="1"/>
  <c r="G31" i="47"/>
  <c r="L31" i="47" s="1"/>
  <c r="G32" i="47"/>
  <c r="L32" i="47" s="1"/>
  <c r="G34" i="47"/>
  <c r="L34" i="47" s="1"/>
  <c r="G36" i="47"/>
  <c r="L36" i="47" s="1"/>
  <c r="G37" i="47"/>
  <c r="L37" i="47" s="1"/>
  <c r="G16" i="50"/>
  <c r="L16" i="50" s="1"/>
  <c r="G38" i="49"/>
  <c r="L38" i="49" s="1"/>
  <c r="G33" i="45"/>
  <c r="L33" i="45" s="1"/>
  <c r="G26" i="45"/>
  <c r="L26" i="45" s="1"/>
  <c r="G16" i="45"/>
  <c r="L16" i="45" s="1"/>
  <c r="G9" i="45"/>
  <c r="G29" i="48"/>
  <c r="L29" i="48" s="1"/>
  <c r="G23" i="50"/>
  <c r="L23" i="50" s="1"/>
  <c r="G15" i="50"/>
  <c r="L15" i="50" s="1"/>
  <c r="G32" i="45"/>
  <c r="L32" i="45" s="1"/>
  <c r="G23" i="45"/>
  <c r="L23" i="45" s="1"/>
  <c r="G19" i="45"/>
  <c r="L19" i="45" s="1"/>
  <c r="G37" i="51"/>
  <c r="L37" i="51" s="1"/>
  <c r="G22" i="50"/>
  <c r="L22" i="50" s="1"/>
  <c r="G32" i="50"/>
  <c r="L32" i="50" s="1"/>
  <c r="G33" i="50"/>
  <c r="L33" i="50" s="1"/>
  <c r="G10" i="48"/>
  <c r="L10" i="48" s="1"/>
  <c r="G12" i="48"/>
  <c r="L12" i="48" s="1"/>
  <c r="G16" i="48"/>
  <c r="L16" i="48" s="1"/>
  <c r="G19" i="48"/>
  <c r="L19" i="48" s="1"/>
  <c r="G24" i="48"/>
  <c r="L24" i="48" s="1"/>
  <c r="G33" i="48"/>
  <c r="L33" i="48" s="1"/>
  <c r="G12" i="46"/>
  <c r="L12" i="46" s="1"/>
  <c r="G18" i="46"/>
  <c r="L18" i="46" s="1"/>
  <c r="G17" i="46"/>
  <c r="L17" i="46" s="1"/>
  <c r="G21" i="46"/>
  <c r="L21" i="46" s="1"/>
  <c r="G24" i="46"/>
  <c r="L24" i="46" s="1"/>
  <c r="G31" i="46"/>
  <c r="L31" i="46" s="1"/>
  <c r="G10" i="46"/>
  <c r="L10" i="46" s="1"/>
  <c r="A39" i="42"/>
  <c r="G38" i="44" s="1"/>
  <c r="L38" i="44" s="1"/>
  <c r="E39" i="42"/>
  <c r="D39" i="42"/>
  <c r="C38" i="42" a="1"/>
  <c r="C38" i="42" s="1"/>
  <c r="A38" i="41"/>
  <c r="E38" i="41"/>
  <c r="D38" i="41"/>
  <c r="C37" i="41" a="1"/>
  <c r="C37" i="41" s="1"/>
  <c r="C18" i="39" a="1"/>
  <c r="C18" i="39" s="1"/>
  <c r="A19" i="39"/>
  <c r="B20" i="39"/>
  <c r="D19" i="39"/>
  <c r="E19" i="39"/>
  <c r="G36" i="50" l="1"/>
  <c r="L36" i="50" s="1"/>
  <c r="G35" i="45"/>
  <c r="L35" i="45" s="1"/>
  <c r="G9" i="46"/>
  <c r="L9" i="46" s="1"/>
  <c r="G36" i="46"/>
  <c r="L36" i="46" s="1"/>
  <c r="G38" i="50"/>
  <c r="L38" i="50" s="1"/>
  <c r="G37" i="50"/>
  <c r="L37" i="50" s="1"/>
  <c r="G37" i="46"/>
  <c r="L37" i="46" s="1"/>
  <c r="G38" i="46"/>
  <c r="L38" i="46" s="1"/>
  <c r="G39" i="46"/>
  <c r="L39" i="46" s="1"/>
  <c r="G35" i="46"/>
  <c r="L35" i="46" s="1"/>
  <c r="G34" i="46"/>
  <c r="L34" i="46" s="1"/>
  <c r="G33" i="46"/>
  <c r="L33" i="46" s="1"/>
  <c r="L9" i="48"/>
  <c r="M9" i="48"/>
  <c r="N9" i="48" s="1"/>
  <c r="L9" i="47"/>
  <c r="M9" i="47"/>
  <c r="N9" i="47" s="1"/>
  <c r="M9" i="46"/>
  <c r="N9" i="46" s="1"/>
  <c r="L18" i="45"/>
  <c r="M18" i="45"/>
  <c r="N18" i="45" s="1"/>
  <c r="L9" i="45"/>
  <c r="M9" i="45"/>
  <c r="N9" i="45" s="1"/>
  <c r="G10" i="49"/>
  <c r="L10" i="49" s="1"/>
  <c r="G39" i="45"/>
  <c r="L39" i="45" s="1"/>
  <c r="G37" i="45"/>
  <c r="L37" i="45" s="1"/>
  <c r="G38" i="45"/>
  <c r="L38" i="45" s="1"/>
  <c r="G11" i="46"/>
  <c r="L11" i="46" s="1"/>
  <c r="G20" i="42"/>
  <c r="L20" i="42" s="1"/>
  <c r="G37" i="48"/>
  <c r="L37" i="48" s="1"/>
  <c r="G38" i="48"/>
  <c r="L38" i="48" s="1"/>
  <c r="G31" i="42"/>
  <c r="L31" i="42" s="1"/>
  <c r="G17" i="42"/>
  <c r="L17" i="42" s="1"/>
  <c r="G28" i="42"/>
  <c r="L28" i="42" s="1"/>
  <c r="G22" i="42"/>
  <c r="L22" i="42" s="1"/>
  <c r="G27" i="42"/>
  <c r="L27" i="42" s="1"/>
  <c r="G26" i="42"/>
  <c r="L26" i="42" s="1"/>
  <c r="G37" i="44"/>
  <c r="L37" i="44" s="1"/>
  <c r="G11" i="49"/>
  <c r="L11" i="49" s="1"/>
  <c r="G21" i="42"/>
  <c r="L21" i="42" s="1"/>
  <c r="G23" i="42"/>
  <c r="L23" i="42" s="1"/>
  <c r="G19" i="42"/>
  <c r="L19" i="42" s="1"/>
  <c r="G9" i="49"/>
  <c r="L9" i="49" s="1"/>
  <c r="G29" i="42"/>
  <c r="L29" i="42" s="1"/>
  <c r="G15" i="42"/>
  <c r="L15" i="42" s="1"/>
  <c r="G39" i="48"/>
  <c r="L39" i="48" s="1"/>
  <c r="G14" i="42"/>
  <c r="L14" i="42" s="1"/>
  <c r="G36" i="48"/>
  <c r="L36" i="48" s="1"/>
  <c r="G11" i="44"/>
  <c r="L11" i="44" s="1"/>
  <c r="G12" i="44"/>
  <c r="L12" i="44" s="1"/>
  <c r="G15" i="44"/>
  <c r="L15" i="44" s="1"/>
  <c r="G14" i="44"/>
  <c r="L14" i="44" s="1"/>
  <c r="G17" i="44"/>
  <c r="L17" i="44" s="1"/>
  <c r="G16" i="44"/>
  <c r="L16" i="44" s="1"/>
  <c r="G19" i="44"/>
  <c r="L19" i="44" s="1"/>
  <c r="G18" i="44"/>
  <c r="L18" i="44" s="1"/>
  <c r="G21" i="44"/>
  <c r="L21" i="44" s="1"/>
  <c r="G20" i="44"/>
  <c r="L20" i="44" s="1"/>
  <c r="G24" i="44"/>
  <c r="L24" i="44" s="1"/>
  <c r="G23" i="44"/>
  <c r="L23" i="44" s="1"/>
  <c r="G22" i="44"/>
  <c r="L22" i="44" s="1"/>
  <c r="G25" i="44"/>
  <c r="L25" i="44" s="1"/>
  <c r="G26" i="44"/>
  <c r="L26" i="44" s="1"/>
  <c r="G27" i="44"/>
  <c r="L27" i="44" s="1"/>
  <c r="G28" i="44"/>
  <c r="L28" i="44" s="1"/>
  <c r="G30" i="44"/>
  <c r="L30" i="44" s="1"/>
  <c r="G29" i="44"/>
  <c r="L29" i="44" s="1"/>
  <c r="G33" i="44"/>
  <c r="L33" i="44" s="1"/>
  <c r="G31" i="44"/>
  <c r="L31" i="44" s="1"/>
  <c r="G32" i="44"/>
  <c r="L32" i="44" s="1"/>
  <c r="G35" i="44"/>
  <c r="L35" i="44" s="1"/>
  <c r="G36" i="44"/>
  <c r="L36" i="44" s="1"/>
  <c r="G34" i="44"/>
  <c r="L34" i="44" s="1"/>
  <c r="G24" i="42"/>
  <c r="L24" i="42" s="1"/>
  <c r="G16" i="42"/>
  <c r="G9" i="50"/>
  <c r="C39" i="42" a="1"/>
  <c r="C39" i="42" s="1"/>
  <c r="C38" i="41" a="1"/>
  <c r="C38" i="41" s="1"/>
  <c r="C19" i="39" a="1"/>
  <c r="C19" i="39" s="1"/>
  <c r="D20" i="39"/>
  <c r="E20" i="39"/>
  <c r="A20" i="39"/>
  <c r="B21" i="39"/>
  <c r="G35" i="41" l="1"/>
  <c r="L35" i="41" s="1"/>
  <c r="L16" i="42"/>
  <c r="M16" i="42"/>
  <c r="N16" i="42" s="1"/>
  <c r="L9" i="50"/>
  <c r="M9" i="50"/>
  <c r="N9" i="50" s="1"/>
  <c r="P9" i="48"/>
  <c r="Q9" i="48" s="1"/>
  <c r="O9" i="48"/>
  <c r="O9" i="47"/>
  <c r="P9" i="47"/>
  <c r="Q9" i="47" s="1"/>
  <c r="O9" i="46"/>
  <c r="P9" i="46"/>
  <c r="Q9" i="46" s="1"/>
  <c r="O18" i="45"/>
  <c r="P18" i="45"/>
  <c r="Q18" i="45" s="1"/>
  <c r="O9" i="45"/>
  <c r="P9" i="45"/>
  <c r="Q9" i="45" s="1"/>
  <c r="G34" i="42"/>
  <c r="L34" i="42" s="1"/>
  <c r="G36" i="41"/>
  <c r="L36" i="41" s="1"/>
  <c r="G10" i="42"/>
  <c r="L10" i="42" s="1"/>
  <c r="G37" i="41"/>
  <c r="L37" i="41" s="1"/>
  <c r="G9" i="42"/>
  <c r="G9" i="44"/>
  <c r="L9" i="44" s="1"/>
  <c r="G35" i="42"/>
  <c r="L35" i="42" s="1"/>
  <c r="G36" i="42"/>
  <c r="L36" i="42" s="1"/>
  <c r="G12" i="42"/>
  <c r="L12" i="42" s="1"/>
  <c r="G10" i="44"/>
  <c r="L10" i="44" s="1"/>
  <c r="G38" i="42"/>
  <c r="L38" i="42" s="1"/>
  <c r="G32" i="42"/>
  <c r="L32" i="42" s="1"/>
  <c r="G30" i="42"/>
  <c r="G33" i="42"/>
  <c r="L33" i="42" s="1"/>
  <c r="G37" i="42"/>
  <c r="L37" i="42" s="1"/>
  <c r="G39" i="42"/>
  <c r="L39" i="42" s="1"/>
  <c r="G11" i="42"/>
  <c r="L11" i="42" s="1"/>
  <c r="G13" i="42"/>
  <c r="L13" i="42" s="1"/>
  <c r="G18" i="42"/>
  <c r="L18" i="42" s="1"/>
  <c r="G25" i="42"/>
  <c r="L25" i="42" s="1"/>
  <c r="G38" i="41"/>
  <c r="L38" i="41" s="1"/>
  <c r="G9" i="41"/>
  <c r="G12" i="41"/>
  <c r="L12" i="41" s="1"/>
  <c r="G15" i="41"/>
  <c r="L15" i="41" s="1"/>
  <c r="G11" i="41"/>
  <c r="L11" i="41" s="1"/>
  <c r="G16" i="41"/>
  <c r="L16" i="41" s="1"/>
  <c r="G14" i="41"/>
  <c r="L14" i="41" s="1"/>
  <c r="G17" i="41"/>
  <c r="L17" i="41" s="1"/>
  <c r="G20" i="41"/>
  <c r="L20" i="41" s="1"/>
  <c r="G19" i="41"/>
  <c r="L19" i="41" s="1"/>
  <c r="G22" i="41"/>
  <c r="L22" i="41" s="1"/>
  <c r="G21" i="41"/>
  <c r="L21" i="41" s="1"/>
  <c r="G23" i="41"/>
  <c r="L23" i="41" s="1"/>
  <c r="G24" i="41"/>
  <c r="L24" i="41" s="1"/>
  <c r="G28" i="41"/>
  <c r="L28" i="41" s="1"/>
  <c r="G29" i="41"/>
  <c r="L29" i="41" s="1"/>
  <c r="G27" i="41"/>
  <c r="L27" i="41" s="1"/>
  <c r="G30" i="41"/>
  <c r="L30" i="41" s="1"/>
  <c r="G31" i="41"/>
  <c r="L31" i="41" s="1"/>
  <c r="C20" i="39" a="1"/>
  <c r="C20" i="39" s="1"/>
  <c r="B22" i="39"/>
  <c r="E21" i="39"/>
  <c r="D21" i="39"/>
  <c r="A21" i="39"/>
  <c r="R9" i="46" l="1"/>
  <c r="R40" i="46" s="1"/>
  <c r="C22" i="1" s="1"/>
  <c r="D22" i="1" s="1"/>
  <c r="R18" i="45"/>
  <c r="P16" i="42"/>
  <c r="Q16" i="42" s="1"/>
  <c r="O16" i="42"/>
  <c r="O9" i="50"/>
  <c r="P9" i="50"/>
  <c r="Q9" i="50" s="1"/>
  <c r="R9" i="50" s="1"/>
  <c r="R40" i="50" s="1"/>
  <c r="R9" i="48"/>
  <c r="R40" i="48" s="1"/>
  <c r="B4" i="48" s="1"/>
  <c r="R9" i="47"/>
  <c r="R39" i="47" s="1"/>
  <c r="C23" i="1" s="1"/>
  <c r="D23" i="1" s="1"/>
  <c r="L9" i="42"/>
  <c r="M9" i="42"/>
  <c r="N9" i="42" s="1"/>
  <c r="L9" i="41"/>
  <c r="M9" i="41"/>
  <c r="N9" i="41" s="1"/>
  <c r="R9" i="45"/>
  <c r="L30" i="42"/>
  <c r="M30" i="42"/>
  <c r="N30" i="42" s="1"/>
  <c r="G13" i="41"/>
  <c r="L13" i="41" s="1"/>
  <c r="G18" i="41"/>
  <c r="L18" i="41" s="1"/>
  <c r="G25" i="41"/>
  <c r="L25" i="41" s="1"/>
  <c r="G26" i="41"/>
  <c r="L26" i="41" s="1"/>
  <c r="G32" i="41"/>
  <c r="L32" i="41" s="1"/>
  <c r="G34" i="41"/>
  <c r="L34" i="41" s="1"/>
  <c r="G33" i="41"/>
  <c r="L33" i="41" s="1"/>
  <c r="C21" i="39" a="1"/>
  <c r="C21" i="39" s="1"/>
  <c r="A22" i="39"/>
  <c r="B23" i="39"/>
  <c r="E22" i="39"/>
  <c r="D22" i="39"/>
  <c r="B4" i="46" l="1"/>
  <c r="R16" i="42"/>
  <c r="R40" i="45"/>
  <c r="B4" i="45" s="1"/>
  <c r="B4" i="50"/>
  <c r="C26" i="1"/>
  <c r="D26" i="1" s="1"/>
  <c r="C24" i="1"/>
  <c r="D24" i="1" s="1"/>
  <c r="B4" i="47"/>
  <c r="P9" i="42"/>
  <c r="Q9" i="42" s="1"/>
  <c r="O9" i="42"/>
  <c r="O9" i="41"/>
  <c r="P9" i="41"/>
  <c r="Q9" i="41" s="1"/>
  <c r="P30" i="42"/>
  <c r="Q30" i="42" s="1"/>
  <c r="O30" i="42"/>
  <c r="C22" i="39" a="1"/>
  <c r="C22" i="39" s="1"/>
  <c r="E23" i="39"/>
  <c r="B24" i="39"/>
  <c r="D23" i="39"/>
  <c r="A23" i="39"/>
  <c r="R9" i="41" l="1"/>
  <c r="R39" i="41" s="1"/>
  <c r="B4" i="41" s="1"/>
  <c r="C21" i="1"/>
  <c r="D21" i="1" s="1"/>
  <c r="R9" i="42"/>
  <c r="R30" i="42"/>
  <c r="C23" i="39" a="1"/>
  <c r="C23" i="39" s="1"/>
  <c r="A24" i="39"/>
  <c r="B25" i="39"/>
  <c r="E24" i="39"/>
  <c r="D24" i="39"/>
  <c r="R40" i="42" l="1"/>
  <c r="C19" i="1" s="1"/>
  <c r="D19" i="1" s="1"/>
  <c r="C18" i="1"/>
  <c r="D18" i="1" s="1"/>
  <c r="C24" i="39" a="1"/>
  <c r="C24" i="39" s="1"/>
  <c r="D25" i="39"/>
  <c r="B26" i="39"/>
  <c r="A25" i="39"/>
  <c r="E25" i="39"/>
  <c r="B4" i="42" l="1"/>
  <c r="C25" i="39" a="1"/>
  <c r="C25" i="39" s="1"/>
  <c r="B27" i="39"/>
  <c r="E26" i="39"/>
  <c r="D26" i="39"/>
  <c r="A26" i="39"/>
  <c r="C26" i="39" l="1" a="1"/>
  <c r="C26" i="39" s="1"/>
  <c r="A27" i="39"/>
  <c r="D27" i="39"/>
  <c r="B28" i="39"/>
  <c r="E27" i="39"/>
  <c r="N26" i="39" l="1"/>
  <c r="P26" i="39" s="1"/>
  <c r="Q26" i="39" s="1"/>
  <c r="C27" i="39" a="1"/>
  <c r="C27" i="39" s="1"/>
  <c r="D28" i="39"/>
  <c r="E28" i="39"/>
  <c r="A28" i="39"/>
  <c r="B29" i="39"/>
  <c r="O26" i="39" l="1"/>
  <c r="R26" i="39" s="1"/>
  <c r="C28" i="39" a="1"/>
  <c r="C28" i="39" s="1"/>
  <c r="B30" i="39"/>
  <c r="E29" i="39"/>
  <c r="D29" i="39"/>
  <c r="A29" i="39"/>
  <c r="C29" i="39" l="1" a="1"/>
  <c r="C29" i="39" s="1"/>
  <c r="A30" i="39"/>
  <c r="B31" i="39"/>
  <c r="E30" i="39"/>
  <c r="D30" i="39"/>
  <c r="C30" i="39" l="1" a="1"/>
  <c r="C30" i="39" s="1"/>
  <c r="E31" i="39"/>
  <c r="A31" i="39"/>
  <c r="D31" i="39"/>
  <c r="B32" i="39"/>
  <c r="C31" i="39" l="1" a="1"/>
  <c r="C31" i="39" s="1"/>
  <c r="A32" i="39"/>
  <c r="B33" i="39"/>
  <c r="E32" i="39"/>
  <c r="D32" i="39"/>
  <c r="C32" i="39" l="1" a="1"/>
  <c r="C32" i="39" s="1"/>
  <c r="A33" i="39"/>
  <c r="B34" i="39"/>
  <c r="E33" i="39"/>
  <c r="D33" i="39"/>
  <c r="C33" i="39" l="1" a="1"/>
  <c r="C33" i="39" s="1"/>
  <c r="B35" i="39"/>
  <c r="E34" i="39"/>
  <c r="D34" i="39"/>
  <c r="A34" i="39"/>
  <c r="C34" i="39" l="1" a="1"/>
  <c r="C34" i="39" s="1"/>
  <c r="A35" i="39"/>
  <c r="D35" i="39"/>
  <c r="B36" i="39"/>
  <c r="B37" i="39" s="1"/>
  <c r="E35" i="39"/>
  <c r="C35" i="39" l="1" a="1"/>
  <c r="C35" i="39" s="1"/>
  <c r="D37" i="39"/>
  <c r="A37" i="39"/>
  <c r="E37" i="39"/>
  <c r="D36" i="39"/>
  <c r="A36" i="39"/>
  <c r="E36" i="39"/>
  <c r="G25" i="51" l="1"/>
  <c r="L25" i="51" s="1"/>
  <c r="G24" i="51"/>
  <c r="L24" i="51" s="1"/>
  <c r="G14" i="51"/>
  <c r="L14" i="51" s="1"/>
  <c r="G20" i="51"/>
  <c r="L20" i="51" s="1"/>
  <c r="G23" i="51"/>
  <c r="L23" i="51" s="1"/>
  <c r="G26" i="51"/>
  <c r="L26" i="51" s="1"/>
  <c r="G15" i="51"/>
  <c r="L15" i="51" s="1"/>
  <c r="G18" i="51"/>
  <c r="L18" i="51" s="1"/>
  <c r="G29" i="51"/>
  <c r="L29" i="51" s="1"/>
  <c r="G13" i="51"/>
  <c r="L13" i="51" s="1"/>
  <c r="G17" i="51"/>
  <c r="L17" i="51" s="1"/>
  <c r="G21" i="51"/>
  <c r="L21" i="51" s="1"/>
  <c r="G12" i="51"/>
  <c r="L12" i="51" s="1"/>
  <c r="G19" i="51"/>
  <c r="L19" i="51" s="1"/>
  <c r="G16" i="51"/>
  <c r="L16" i="51" s="1"/>
  <c r="G22" i="51"/>
  <c r="L22" i="51" s="1"/>
  <c r="G27" i="51"/>
  <c r="L27" i="51" s="1"/>
  <c r="G30" i="51"/>
  <c r="L30" i="51" s="1"/>
  <c r="G28" i="51"/>
  <c r="L28" i="51" s="1"/>
  <c r="G31" i="51"/>
  <c r="L31" i="51" s="1"/>
  <c r="G32" i="51"/>
  <c r="L32" i="51" s="1"/>
  <c r="G34" i="51"/>
  <c r="L34" i="51" s="1"/>
  <c r="G33" i="51"/>
  <c r="L33" i="51" s="1"/>
  <c r="G35" i="51"/>
  <c r="L35" i="51" s="1"/>
  <c r="G36" i="51"/>
  <c r="L36" i="51" s="1"/>
  <c r="G38" i="43"/>
  <c r="L38" i="43" s="1"/>
  <c r="G38" i="51"/>
  <c r="L38" i="51" s="1"/>
  <c r="G34" i="43"/>
  <c r="L34" i="43" s="1"/>
  <c r="G14" i="43"/>
  <c r="G11" i="39"/>
  <c r="L11" i="39" s="1"/>
  <c r="G9" i="43"/>
  <c r="L9" i="43" s="1"/>
  <c r="G26" i="43"/>
  <c r="L26" i="43" s="1"/>
  <c r="G30" i="43"/>
  <c r="L30" i="43" s="1"/>
  <c r="G39" i="43"/>
  <c r="L39" i="43" s="1"/>
  <c r="G37" i="43"/>
  <c r="L37" i="43" s="1"/>
  <c r="G35" i="43"/>
  <c r="L35" i="43" s="1"/>
  <c r="G39" i="51"/>
  <c r="L39" i="51" s="1"/>
  <c r="G28" i="43"/>
  <c r="L28" i="43" s="1"/>
  <c r="G21" i="43"/>
  <c r="L21" i="43" s="1"/>
  <c r="G11" i="43"/>
  <c r="L11" i="43" s="1"/>
  <c r="G17" i="43"/>
  <c r="L17" i="43" s="1"/>
  <c r="G12" i="43"/>
  <c r="L12" i="43" s="1"/>
  <c r="G13" i="43"/>
  <c r="L13" i="43" s="1"/>
  <c r="G15" i="43"/>
  <c r="L15" i="43" s="1"/>
  <c r="G20" i="43"/>
  <c r="L20" i="43" s="1"/>
  <c r="G33" i="43"/>
  <c r="L33" i="43" s="1"/>
  <c r="G22" i="43"/>
  <c r="L22" i="43" s="1"/>
  <c r="G32" i="43"/>
  <c r="L32" i="43" s="1"/>
  <c r="G10" i="43"/>
  <c r="G18" i="43"/>
  <c r="L18" i="43" s="1"/>
  <c r="G16" i="43"/>
  <c r="L16" i="43" s="1"/>
  <c r="G25" i="43"/>
  <c r="L25" i="43" s="1"/>
  <c r="G29" i="43"/>
  <c r="L29" i="43" s="1"/>
  <c r="G23" i="43"/>
  <c r="L23" i="43" s="1"/>
  <c r="G27" i="43"/>
  <c r="L27" i="43" s="1"/>
  <c r="G36" i="43"/>
  <c r="L36" i="43" s="1"/>
  <c r="G31" i="43"/>
  <c r="L31" i="43" s="1"/>
  <c r="G9" i="39"/>
  <c r="L9" i="39" s="1"/>
  <c r="G24" i="43"/>
  <c r="L24" i="43" s="1"/>
  <c r="G19" i="43"/>
  <c r="L19" i="43" s="1"/>
  <c r="G26" i="39"/>
  <c r="G10" i="39"/>
  <c r="L10" i="39" s="1"/>
  <c r="G16" i="39"/>
  <c r="L16" i="39" s="1"/>
  <c r="G17" i="39"/>
  <c r="L17" i="39" s="1"/>
  <c r="G23" i="39"/>
  <c r="L23" i="39" s="1"/>
  <c r="G24" i="39"/>
  <c r="L24" i="39" s="1"/>
  <c r="G30" i="39"/>
  <c r="L30" i="39" s="1"/>
  <c r="G29" i="39"/>
  <c r="L29" i="39" s="1"/>
  <c r="C36" i="39" a="1"/>
  <c r="C36" i="39" s="1"/>
  <c r="G31" i="39" s="1"/>
  <c r="L31" i="39" s="1"/>
  <c r="C37" i="39" a="1"/>
  <c r="C37" i="39" s="1"/>
  <c r="G34" i="39" l="1"/>
  <c r="L34" i="39" s="1"/>
  <c r="L10" i="43"/>
  <c r="M10" i="43"/>
  <c r="N10" i="43" s="1"/>
  <c r="L14" i="43"/>
  <c r="M14" i="43"/>
  <c r="N14" i="43" s="1"/>
  <c r="G10" i="51"/>
  <c r="L10" i="51" s="1"/>
  <c r="G32" i="39"/>
  <c r="L32" i="39" s="1"/>
  <c r="G9" i="51"/>
  <c r="L9" i="51" s="1"/>
  <c r="G35" i="39"/>
  <c r="L35" i="39" s="1"/>
  <c r="G37" i="39"/>
  <c r="L37" i="39" s="1"/>
  <c r="G11" i="51"/>
  <c r="G20" i="39"/>
  <c r="L20" i="39" s="1"/>
  <c r="G22" i="39"/>
  <c r="L22" i="39" s="1"/>
  <c r="G27" i="39"/>
  <c r="L27" i="39" s="1"/>
  <c r="G36" i="39"/>
  <c r="L36" i="39" s="1"/>
  <c r="G15" i="39"/>
  <c r="L15" i="39" s="1"/>
  <c r="G13" i="39"/>
  <c r="L13" i="39" s="1"/>
  <c r="G12" i="39"/>
  <c r="L12" i="39" s="1"/>
  <c r="G18" i="39"/>
  <c r="L18" i="39" s="1"/>
  <c r="G19" i="39"/>
  <c r="G25" i="39"/>
  <c r="L25" i="39" s="1"/>
  <c r="L26" i="39"/>
  <c r="G28" i="39"/>
  <c r="L28" i="39" s="1"/>
  <c r="L11" i="51" l="1"/>
  <c r="M11" i="51"/>
  <c r="N11" i="51" s="1"/>
  <c r="L19" i="39"/>
  <c r="M19" i="39"/>
  <c r="N19" i="39" s="1"/>
  <c r="P10" i="43"/>
  <c r="Q10" i="43" s="1"/>
  <c r="O10" i="43"/>
  <c r="P14" i="43"/>
  <c r="Q14" i="43" s="1"/>
  <c r="O14" i="43"/>
  <c r="G21" i="39"/>
  <c r="L21" i="39" s="1"/>
  <c r="G33" i="39"/>
  <c r="L33" i="39" s="1"/>
  <c r="G14" i="39"/>
  <c r="L14" i="39" s="1"/>
  <c r="O11" i="51" l="1"/>
  <c r="P11" i="51"/>
  <c r="Q11" i="51" s="1"/>
  <c r="O19" i="39"/>
  <c r="P19" i="39"/>
  <c r="Q19" i="39" s="1"/>
  <c r="R10" i="43"/>
  <c r="R14" i="43"/>
  <c r="U10" i="1"/>
  <c r="R11" i="51" l="1"/>
  <c r="R40" i="51" s="1"/>
  <c r="B4" i="51" s="1"/>
  <c r="R19" i="39"/>
  <c r="R38" i="39" s="1"/>
  <c r="C16" i="1" s="1"/>
  <c r="D16" i="1" s="1"/>
  <c r="R40" i="43"/>
  <c r="B4" i="43" s="1"/>
  <c r="X10" i="1"/>
  <c r="W10" i="1"/>
  <c r="T10" i="1"/>
  <c r="R10" i="1"/>
  <c r="Q10" i="1"/>
  <c r="S10" i="1"/>
  <c r="Z10" i="1"/>
  <c r="C15" i="1" l="1"/>
  <c r="D15" i="1" s="1"/>
  <c r="C17" i="1"/>
  <c r="D17" i="1" s="1"/>
  <c r="B4" i="39"/>
  <c r="AA10" i="1"/>
  <c r="Y10" i="1"/>
  <c r="V10" i="1" l="1"/>
  <c r="O10" i="1" l="1"/>
  <c r="P10" i="1"/>
  <c r="C27" i="1" l="1"/>
  <c r="D27" i="1" s="1"/>
  <c r="AS21" i="1" s="1"/>
  <c r="B3" i="51" l="1"/>
  <c r="B3" i="49"/>
  <c r="B3" i="50"/>
  <c r="B3" i="47"/>
  <c r="B3" i="48"/>
  <c r="B3" i="45"/>
  <c r="B3" i="46"/>
  <c r="B3" i="43"/>
  <c r="B3" i="44"/>
  <c r="B3" i="41"/>
  <c r="B3" i="42"/>
  <c r="G10" i="41"/>
  <c r="L10" i="41" s="1"/>
  <c r="B3" i="39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<sst xmlns="http://schemas.openxmlformats.org/spreadsheetml/2006/main" count="1122" uniqueCount="140">
  <si>
    <t>Stamdata</t>
  </si>
  <si>
    <t>Slutdato (udfyld kun hvis du fratræder i år)</t>
  </si>
  <si>
    <t>År</t>
  </si>
  <si>
    <t>Navn</t>
  </si>
  <si>
    <t>AU-ID</t>
  </si>
  <si>
    <t>Overført fra tidligere perioder</t>
  </si>
  <si>
    <t>Total forskel</t>
  </si>
  <si>
    <t>Forskel</t>
  </si>
  <si>
    <t>Januar</t>
  </si>
  <si>
    <t>Februar</t>
  </si>
  <si>
    <t>Marts</t>
  </si>
  <si>
    <t>April</t>
  </si>
  <si>
    <t>Maj</t>
  </si>
  <si>
    <t>Juni</t>
  </si>
  <si>
    <t>Juli</t>
  </si>
  <si>
    <t>August</t>
  </si>
  <si>
    <t>September</t>
  </si>
  <si>
    <t>Oktober</t>
  </si>
  <si>
    <t>November</t>
  </si>
  <si>
    <t>December</t>
  </si>
  <si>
    <t>Måned</t>
  </si>
  <si>
    <t>Kode</t>
  </si>
  <si>
    <t>Beskrivelse</t>
  </si>
  <si>
    <t>N</t>
  </si>
  <si>
    <t xml:space="preserve">Normal arbejdsdag. Du behøver kun at registrere tid de dage, hvor din faktiske arbejdstid afviger fra din sædvanlige arbejdstid i op- eller nedadgående retning. </t>
  </si>
  <si>
    <t>R</t>
  </si>
  <si>
    <t>Tal-format</t>
  </si>
  <si>
    <t>Alle tal skal skrives som timer:minutter</t>
  </si>
  <si>
    <t>Uge</t>
  </si>
  <si>
    <t>Dato</t>
  </si>
  <si>
    <t>Dag</t>
  </si>
  <si>
    <t>dag-formel</t>
  </si>
  <si>
    <t>dag-dato</t>
  </si>
  <si>
    <t>Faktisk-arbejdstid</t>
  </si>
  <si>
    <t>Start</t>
  </si>
  <si>
    <t>Slut</t>
  </si>
  <si>
    <t>Forskel-tid</t>
  </si>
  <si>
    <t>Hvis minus</t>
  </si>
  <si>
    <t>Timer</t>
  </si>
  <si>
    <t>Minutter</t>
  </si>
  <si>
    <t>Bemærkning</t>
  </si>
  <si>
    <t>Arbejdsdage</t>
  </si>
  <si>
    <t>Daglige timer</t>
  </si>
  <si>
    <t>Timer/minutter</t>
  </si>
  <si>
    <t>Timenorm udfra ugentligt time antal</t>
  </si>
  <si>
    <t>Antal timer måned</t>
  </si>
  <si>
    <t>TM</t>
  </si>
  <si>
    <t xml:space="preserve">Timenorm måned - fravær </t>
  </si>
  <si>
    <t>Antal registerede arbejdstimer i måneden</t>
  </si>
  <si>
    <t>F</t>
  </si>
  <si>
    <t>Forskel mellem N og TM</t>
  </si>
  <si>
    <t>Delta difference  i tal</t>
  </si>
  <si>
    <t>Forskel mellem TM og F</t>
  </si>
  <si>
    <t>Registrede timer +/-</t>
  </si>
  <si>
    <t>Indsæt dit fornavn og efternavn</t>
  </si>
  <si>
    <t>Indsæt dit AU-ID</t>
  </si>
  <si>
    <t>Startdato (udfyld kun hvis du er nyansat)</t>
  </si>
  <si>
    <t>Forskel-decimaltal</t>
  </si>
  <si>
    <t>-</t>
  </si>
  <si>
    <t>Total saldo</t>
  </si>
  <si>
    <t>Total inkl. saldo fra tidligere periode</t>
  </si>
  <si>
    <t>Evt. overført saldo fra tidligere perioder</t>
  </si>
  <si>
    <t>Saldo fra tidligere periode</t>
  </si>
  <si>
    <t>Total saldo indv. måned</t>
  </si>
  <si>
    <t>Tekst til decimal</t>
  </si>
  <si>
    <t>Skærtorsdag</t>
  </si>
  <si>
    <t>Langfredag</t>
  </si>
  <si>
    <t>Påskedag</t>
  </si>
  <si>
    <t>2. påskedag</t>
  </si>
  <si>
    <t>Store Bededag</t>
  </si>
  <si>
    <t>Kristi Himmelfart</t>
  </si>
  <si>
    <t>Pinsedag</t>
  </si>
  <si>
    <t>2. pinsedag</t>
  </si>
  <si>
    <t>1. juledag</t>
  </si>
  <si>
    <t>2. juledag</t>
  </si>
  <si>
    <t>X</t>
  </si>
  <si>
    <t>Årstal</t>
  </si>
  <si>
    <t>A</t>
  </si>
  <si>
    <t>Rest</t>
  </si>
  <si>
    <t>B</t>
  </si>
  <si>
    <t>Heltal</t>
  </si>
  <si>
    <t>C</t>
  </si>
  <si>
    <t>D</t>
  </si>
  <si>
    <t>E</t>
  </si>
  <si>
    <t>G</t>
  </si>
  <si>
    <t>H</t>
  </si>
  <si>
    <t>J</t>
  </si>
  <si>
    <t>K</t>
  </si>
  <si>
    <t>L</t>
  </si>
  <si>
    <t>M</t>
  </si>
  <si>
    <t>P</t>
  </si>
  <si>
    <t>Q</t>
  </si>
  <si>
    <t>Formel</t>
  </si>
  <si>
    <t>Mellemregning</t>
  </si>
  <si>
    <t>Diff ift Påskesøndag</t>
  </si>
  <si>
    <t>1. s.e. påske</t>
  </si>
  <si>
    <t>2. s.e. påske</t>
  </si>
  <si>
    <t>3. s.e. påske</t>
  </si>
  <si>
    <t>4. s.e. påske</t>
  </si>
  <si>
    <t>5. s.e. påske</t>
  </si>
  <si>
    <t>6.s.e. påske</t>
  </si>
  <si>
    <t>Helligdag</t>
  </si>
  <si>
    <t>Normtid</t>
  </si>
  <si>
    <t>Dagens arbejdstid</t>
  </si>
  <si>
    <t>Helligdagsudregning</t>
  </si>
  <si>
    <t>nytårsdag</t>
  </si>
  <si>
    <t>palmesøndag</t>
  </si>
  <si>
    <t>skærtorsdag</t>
  </si>
  <si>
    <t>langfredag</t>
  </si>
  <si>
    <t>påskedag</t>
  </si>
  <si>
    <t>kristi himmelfart</t>
  </si>
  <si>
    <t>pinsedag</t>
  </si>
  <si>
    <t>juleaften</t>
  </si>
  <si>
    <t>nytårsaftens dag</t>
  </si>
  <si>
    <t>Faktisk Timetal Lommeregner</t>
  </si>
  <si>
    <t>Interval 1</t>
  </si>
  <si>
    <t>Interval 2</t>
  </si>
  <si>
    <t>Interval 3</t>
  </si>
  <si>
    <t>SUM:</t>
  </si>
  <si>
    <t>grundlovsdag</t>
  </si>
  <si>
    <t>Når ”R” er valgt, skal du vælge enten at indtaste komme- og gåtid (start-slut), eller indtaste din samlede arbejdstid for dagen i kolonnen ”Faktisk-arbejdstid”.”. Hvis begge formater anvendes samtidig er det kun "Faktisk-arbejdstid" der slår igennem.</t>
  </si>
  <si>
    <t>Ændr kun hvis de starter i år</t>
  </si>
  <si>
    <t>Ændr kun hvis de slutter i år</t>
  </si>
  <si>
    <t>Benyt formattet TT:MM</t>
  </si>
  <si>
    <t>mandag</t>
  </si>
  <si>
    <t>tirsdag</t>
  </si>
  <si>
    <t>onsdag</t>
  </si>
  <si>
    <t>torsdag</t>
  </si>
  <si>
    <t>fredag</t>
  </si>
  <si>
    <t>Ugens antal feriedage</t>
  </si>
  <si>
    <t xml:space="preserve">Har du en fast ugenlig fridag? </t>
  </si>
  <si>
    <t>Fridag for den givende uge. Bruges ikke til ferie. Fridage har ingen effekt hvis de angives i weekenden eller helligdage</t>
  </si>
  <si>
    <t>Ny total saldo</t>
  </si>
  <si>
    <t>Reduktion af saldo</t>
  </si>
  <si>
    <t>Hvornår bruges det?</t>
  </si>
  <si>
    <t>• Når du får udbetalt godkendte afspadseringstimer</t>
  </si>
  <si>
    <t>• Hvis der skal foretages en manuel nedjustering af din saldo i øvrigt (fx ved fejlregistrering)</t>
  </si>
  <si>
    <t>Timer til nedjustering</t>
  </si>
  <si>
    <t xml:space="preserve">• Når du har overført godkendte afspadseringstimer til opsparet frihed i mitHR, og timerne derfor skal fratrækkes din saldo </t>
  </si>
  <si>
    <t>00:00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</si>
</sst>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ddd"/>
    <numFmt numFmtId="165" formatCode="dd"/>
    <numFmt numFmtId="166" formatCode="hh:mm;@"/>
    <numFmt numFmtId="167" formatCode="yyyy"/>
    <numFmt numFmtId="168" formatCode="mmmm"/>
    <numFmt numFmtId="169" formatCode="0.0"/>
    <numFmt numFmtId="170" formatCode="[h]:mm;@"/>
    <numFmt numFmtId="171" formatCode="ddd\ dd\ mmmm\ yyyy"/>
    <numFmt numFmtId="172" formatCode="ddd\ dd/mm/yyyy"/>
    <numFmt numFmtId="173" formatCode="[$-F400]h:mm:ss\ AM/PM"/>
    <numFmt numFmtId="174" formatCode="&quot;-&quot;hh:mm"/>
  </numFmts>
  <fonts count="11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U Passata"/>
      <family val="2"/>
    </font>
    <font>
      <sz val="10"/>
      <name val="AU Passata"/>
      <family val="2"/>
    </font>
    <font>
      <b/>
      <sz val="11"/>
      <color theme="1"/>
      <name val="AU Passata"/>
      <family val="2"/>
    </font>
    <font>
      <b/>
      <sz val="11"/>
      <name val="AU Passata"/>
      <family val="2"/>
    </font>
    <font>
      <sz val="11"/>
      <color rgb="FF000000"/>
      <name val="AU Passata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rgb="FF000000"/>
      <name val="Aptos"/>
      <family val="2"/>
    </font>
    <font>
      <sz val="18"/>
      <color theme="1"/>
      <name val="AU Passat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30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7" fillId="0" borderId="0"/>
  </cellStyleXfs>
  <cellXfs count="113">
    <xf numFmtId="0" fontId="0" fillId="0" borderId="0" xfId="0"/>
    <xf numFmtId="166" fontId="0" fillId="0" borderId="0" xfId="0" applyNumberFormat="1"/>
    <xf numFmtId="2" fontId="0" fillId="0" borderId="0" xfId="0" applyNumberFormat="1"/>
    <xf numFmtId="20" fontId="0" fillId="0" borderId="0" xfId="0" applyNumberFormat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3" xfId="0" applyFont="1" applyBorder="1"/>
    <xf numFmtId="165" fontId="2" fillId="0" borderId="4" xfId="0" applyNumberFormat="1" applyFont="1" applyBorder="1"/>
    <xf numFmtId="164" fontId="2" fillId="0" borderId="4" xfId="0" applyNumberFormat="1" applyFont="1" applyBorder="1" applyAlignment="1">
      <alignment horizontal="right"/>
    </xf>
    <xf numFmtId="0" fontId="3" fillId="0" borderId="4" xfId="0" applyFont="1" applyBorder="1" applyAlignment="1" applyProtection="1">
      <alignment horizontal="center"/>
      <protection locked="0"/>
    </xf>
    <xf numFmtId="20" fontId="2" fillId="0" borderId="4" xfId="0" applyNumberFormat="1" applyFont="1" applyBorder="1" applyProtection="1">
      <protection locked="0"/>
    </xf>
    <xf numFmtId="20" fontId="2" fillId="0" borderId="4" xfId="0" applyNumberFormat="1" applyFont="1" applyBorder="1"/>
    <xf numFmtId="0" fontId="2" fillId="3" borderId="10" xfId="0" applyFont="1" applyFill="1" applyBorder="1"/>
    <xf numFmtId="0" fontId="2" fillId="3" borderId="6" xfId="0" applyFont="1" applyFill="1" applyBorder="1"/>
    <xf numFmtId="0" fontId="2" fillId="2" borderId="7" xfId="0" applyFont="1" applyFill="1" applyBorder="1" applyProtection="1">
      <protection locked="0"/>
    </xf>
    <xf numFmtId="169" fontId="0" fillId="0" borderId="0" xfId="0" applyNumberFormat="1"/>
    <xf numFmtId="167" fontId="2" fillId="3" borderId="8" xfId="0" applyNumberFormat="1" applyFont="1" applyFill="1" applyBorder="1"/>
    <xf numFmtId="168" fontId="2" fillId="0" borderId="11" xfId="0" applyNumberFormat="1" applyFont="1" applyBorder="1"/>
    <xf numFmtId="14" fontId="0" fillId="0" borderId="0" xfId="0" applyNumberFormat="1"/>
    <xf numFmtId="46" fontId="0" fillId="0" borderId="0" xfId="0" applyNumberFormat="1"/>
    <xf numFmtId="0" fontId="0" fillId="0" borderId="12" xfId="0" applyBorder="1"/>
    <xf numFmtId="0" fontId="2" fillId="0" borderId="1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" fontId="0" fillId="0" borderId="0" xfId="0" applyNumberFormat="1"/>
    <xf numFmtId="2" fontId="2" fillId="0" borderId="0" xfId="0" applyNumberFormat="1" applyFont="1" applyAlignment="1">
      <alignment horizontal="right"/>
    </xf>
    <xf numFmtId="0" fontId="2" fillId="0" borderId="4" xfId="0" applyFont="1" applyBorder="1" applyAlignment="1">
      <alignment horizontal="right"/>
    </xf>
    <xf numFmtId="0" fontId="2" fillId="2" borderId="5" xfId="0" applyFont="1" applyFill="1" applyBorder="1" applyProtection="1">
      <protection locked="0"/>
    </xf>
    <xf numFmtId="0" fontId="5" fillId="3" borderId="5" xfId="0" applyFont="1" applyFill="1" applyBorder="1"/>
    <xf numFmtId="0" fontId="2" fillId="0" borderId="0" xfId="0" applyFont="1"/>
    <xf numFmtId="2" fontId="2" fillId="0" borderId="0" xfId="0" applyNumberFormat="1" applyFont="1"/>
    <xf numFmtId="168" fontId="5" fillId="3" borderId="5" xfId="0" applyNumberFormat="1" applyFont="1" applyFill="1" applyBorder="1" applyAlignment="1">
      <alignment horizontal="right"/>
    </xf>
    <xf numFmtId="0" fontId="2" fillId="0" borderId="0" xfId="0" quotePrefix="1" applyFont="1"/>
    <xf numFmtId="0" fontId="2" fillId="3" borderId="0" xfId="0" applyFont="1" applyFill="1"/>
    <xf numFmtId="170" fontId="0" fillId="0" borderId="9" xfId="0" applyNumberFormat="1" applyBorder="1" applyAlignment="1">
      <alignment horizontal="right"/>
    </xf>
    <xf numFmtId="0" fontId="2" fillId="4" borderId="8" xfId="0" applyFont="1" applyFill="1" applyBorder="1"/>
    <xf numFmtId="0" fontId="2" fillId="4" borderId="10" xfId="0" applyFont="1" applyFill="1" applyBorder="1"/>
    <xf numFmtId="0" fontId="5" fillId="3" borderId="5" xfId="0" applyFont="1" applyFill="1" applyBorder="1" applyAlignment="1">
      <alignment wrapText="1"/>
    </xf>
    <xf numFmtId="0" fontId="2" fillId="3" borderId="15" xfId="0" applyFont="1" applyFill="1" applyBorder="1"/>
    <xf numFmtId="0" fontId="2" fillId="3" borderId="8" xfId="0" applyFont="1" applyFill="1" applyBorder="1" applyAlignment="1">
      <alignment wrapText="1"/>
    </xf>
    <xf numFmtId="0" fontId="2" fillId="0" borderId="9" xfId="0" applyFont="1" applyBorder="1"/>
    <xf numFmtId="0" fontId="4" fillId="3" borderId="22" xfId="0" applyFont="1" applyFill="1" applyBorder="1"/>
    <xf numFmtId="14" fontId="2" fillId="2" borderId="19" xfId="0" applyNumberFormat="1" applyFont="1" applyFill="1" applyBorder="1" applyProtection="1">
      <protection locked="0"/>
    </xf>
    <xf numFmtId="14" fontId="2" fillId="2" borderId="21" xfId="0" applyNumberFormat="1" applyFont="1" applyFill="1" applyBorder="1" applyProtection="1">
      <protection locked="0"/>
    </xf>
    <xf numFmtId="0" fontId="4" fillId="3" borderId="19" xfId="0" applyFont="1" applyFill="1" applyBorder="1"/>
    <xf numFmtId="0" fontId="4" fillId="0" borderId="0" xfId="0" applyFont="1"/>
    <xf numFmtId="0" fontId="2" fillId="0" borderId="0" xfId="0" applyFont="1" applyAlignment="1">
      <alignment wrapText="1"/>
    </xf>
    <xf numFmtId="0" fontId="6" fillId="0" borderId="0" xfId="0" applyFont="1" applyAlignment="1">
      <alignment vertical="center" wrapText="1"/>
    </xf>
    <xf numFmtId="0" fontId="4" fillId="3" borderId="23" xfId="0" applyFont="1" applyFill="1" applyBorder="1"/>
    <xf numFmtId="168" fontId="5" fillId="0" borderId="5" xfId="0" applyNumberFormat="1" applyFont="1" applyBorder="1" applyAlignment="1">
      <alignment horizontal="right"/>
    </xf>
    <xf numFmtId="168" fontId="5" fillId="0" borderId="5" xfId="0" applyNumberFormat="1" applyFont="1" applyBorder="1"/>
    <xf numFmtId="49" fontId="2" fillId="2" borderId="5" xfId="0" applyNumberFormat="1" applyFont="1" applyFill="1" applyBorder="1" applyAlignment="1" applyProtection="1">
      <alignment horizontal="right"/>
      <protection locked="0"/>
    </xf>
    <xf numFmtId="46" fontId="2" fillId="0" borderId="0" xfId="0" applyNumberFormat="1" applyFont="1"/>
    <xf numFmtId="4" fontId="2" fillId="0" borderId="0" xfId="0" applyNumberFormat="1" applyFont="1"/>
    <xf numFmtId="49" fontId="2" fillId="0" borderId="0" xfId="0" quotePrefix="1" applyNumberFormat="1" applyFont="1"/>
    <xf numFmtId="0" fontId="2" fillId="0" borderId="5" xfId="0" applyFont="1" applyBorder="1" applyAlignment="1">
      <alignment horizontal="center"/>
    </xf>
    <xf numFmtId="2" fontId="2" fillId="0" borderId="5" xfId="0" applyNumberFormat="1" applyFont="1" applyBorder="1"/>
    <xf numFmtId="170" fontId="2" fillId="0" borderId="5" xfId="0" applyNumberFormat="1" applyFont="1" applyBorder="1" applyAlignment="1">
      <alignment horizontal="right"/>
    </xf>
    <xf numFmtId="170" fontId="2" fillId="0" borderId="0" xfId="0" applyNumberFormat="1" applyFont="1" applyAlignment="1">
      <alignment horizontal="right"/>
    </xf>
    <xf numFmtId="0" fontId="3" fillId="0" borderId="0" xfId="1" applyFont="1"/>
    <xf numFmtId="0" fontId="2" fillId="0" borderId="5" xfId="0" applyFont="1" applyBorder="1"/>
    <xf numFmtId="4" fontId="2" fillId="0" borderId="5" xfId="0" applyNumberFormat="1" applyFont="1" applyBorder="1" applyAlignment="1">
      <alignment horizontal="right"/>
    </xf>
    <xf numFmtId="0" fontId="2" fillId="3" borderId="5" xfId="0" quotePrefix="1" applyFont="1" applyFill="1" applyBorder="1" applyAlignment="1">
      <alignment horizontal="center"/>
    </xf>
    <xf numFmtId="4" fontId="2" fillId="3" borderId="5" xfId="0" applyNumberFormat="1" applyFont="1" applyFill="1" applyBorder="1" applyAlignment="1">
      <alignment horizontal="right"/>
    </xf>
    <xf numFmtId="170" fontId="2" fillId="3" borderId="5" xfId="0" applyNumberFormat="1" applyFont="1" applyFill="1" applyBorder="1" applyAlignment="1">
      <alignment horizontal="right"/>
    </xf>
    <xf numFmtId="171" fontId="3" fillId="0" borderId="0" xfId="1" applyNumberFormat="1" applyFont="1"/>
    <xf numFmtId="14" fontId="2" fillId="0" borderId="5" xfId="0" applyNumberFormat="1" applyFont="1" applyBorder="1"/>
    <xf numFmtId="0" fontId="2" fillId="0" borderId="25" xfId="0" applyFont="1" applyBorder="1"/>
    <xf numFmtId="170" fontId="2" fillId="0" borderId="9" xfId="0" applyNumberFormat="1" applyFont="1" applyBorder="1" applyAlignment="1">
      <alignment horizontal="right"/>
    </xf>
    <xf numFmtId="0" fontId="2" fillId="0" borderId="26" xfId="0" applyFont="1" applyBorder="1"/>
    <xf numFmtId="14" fontId="2" fillId="0" borderId="0" xfId="0" applyNumberFormat="1" applyFont="1"/>
    <xf numFmtId="0" fontId="2" fillId="0" borderId="12" xfId="0" applyFont="1" applyBorder="1"/>
    <xf numFmtId="166" fontId="2" fillId="0" borderId="0" xfId="0" applyNumberFormat="1" applyFont="1"/>
    <xf numFmtId="20" fontId="2" fillId="0" borderId="0" xfId="0" applyNumberFormat="1" applyFont="1"/>
    <xf numFmtId="169" fontId="2" fillId="0" borderId="0" xfId="0" applyNumberFormat="1" applyFont="1"/>
    <xf numFmtId="0" fontId="7" fillId="0" borderId="0" xfId="1"/>
    <xf numFmtId="0" fontId="8" fillId="0" borderId="0" xfId="1" applyFont="1"/>
    <xf numFmtId="172" fontId="7" fillId="0" borderId="0" xfId="1" applyNumberFormat="1"/>
    <xf numFmtId="0" fontId="2" fillId="0" borderId="5" xfId="0" applyFont="1" applyBorder="1" applyAlignment="1">
      <alignment horizontal="right"/>
    </xf>
    <xf numFmtId="0" fontId="2" fillId="0" borderId="29" xfId="0" applyFont="1" applyBorder="1"/>
    <xf numFmtId="0" fontId="4" fillId="0" borderId="5" xfId="0" applyFont="1" applyBorder="1" applyAlignment="1">
      <alignment horizontal="right"/>
    </xf>
    <xf numFmtId="0" fontId="4" fillId="0" borderId="28" xfId="0" applyFont="1" applyBorder="1" applyAlignment="1">
      <alignment horizontal="right"/>
    </xf>
    <xf numFmtId="20" fontId="4" fillId="3" borderId="5" xfId="0" applyNumberFormat="1" applyFont="1" applyFill="1" applyBorder="1" applyProtection="1">
      <protection locked="0"/>
    </xf>
    <xf numFmtId="0" fontId="2" fillId="3" borderId="5" xfId="0" applyFont="1" applyFill="1" applyBorder="1" applyAlignment="1">
      <alignment horizontal="right"/>
    </xf>
    <xf numFmtId="20" fontId="2" fillId="2" borderId="28" xfId="0" applyNumberFormat="1" applyFont="1" applyFill="1" applyBorder="1" applyProtection="1">
      <protection locked="0"/>
    </xf>
    <xf numFmtId="16" fontId="2" fillId="0" borderId="0" xfId="0" applyNumberFormat="1" applyFont="1"/>
    <xf numFmtId="0" fontId="2" fillId="0" borderId="4" xfId="0" applyFont="1" applyBorder="1"/>
    <xf numFmtId="173" fontId="2" fillId="0" borderId="0" xfId="0" applyNumberFormat="1" applyFont="1"/>
    <xf numFmtId="0" fontId="9" fillId="0" borderId="0" xfId="0" applyFont="1" applyAlignment="1">
      <alignment wrapText="1"/>
    </xf>
    <xf numFmtId="0" fontId="2" fillId="4" borderId="8" xfId="0" applyFont="1" applyFill="1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0" borderId="25" xfId="0" applyFont="1" applyBorder="1"/>
    <xf numFmtId="170" fontId="10" fillId="2" borderId="9" xfId="0" applyNumberFormat="1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174" fontId="2" fillId="2" borderId="5" xfId="0" applyNumberFormat="1" applyFont="1" applyFill="1" applyBorder="1" applyProtection="1">
      <protection locked="0"/>
    </xf>
    <xf numFmtId="0" fontId="4" fillId="0" borderId="5" xfId="0" applyFont="1" applyBorder="1"/>
    <xf numFmtId="0" fontId="6" fillId="0" borderId="0" xfId="0" applyFont="1" applyAlignment="1">
      <alignment horizontal="left" indent="3"/>
    </xf>
    <xf numFmtId="0" fontId="6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5" xfId="0" applyFont="1" applyBorder="1" applyAlignment="1" applyProtection="1">
      <alignment horizontal="left"/>
      <protection locked="0"/>
    </xf>
    <xf numFmtId="0" fontId="4" fillId="0" borderId="24" xfId="0" applyFont="1" applyBorder="1" applyAlignment="1">
      <alignment horizontal="left"/>
    </xf>
    <xf numFmtId="0" fontId="4" fillId="0" borderId="27" xfId="0" applyFont="1" applyBorder="1" applyAlignment="1">
      <alignment horizontal="left"/>
    </xf>
    <xf numFmtId="0" fontId="2" fillId="0" borderId="16" xfId="0" applyFont="1" applyBorder="1" applyAlignment="1">
      <alignment horizontal="left" wrapText="1"/>
    </xf>
    <xf numFmtId="0" fontId="2" fillId="0" borderId="17" xfId="0" applyFont="1" applyBorder="1" applyAlignment="1">
      <alignment horizontal="left" wrapText="1"/>
    </xf>
    <xf numFmtId="0" fontId="6" fillId="0" borderId="16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4" xfId="0" applyFont="1" applyBorder="1" applyAlignment="1" applyProtection="1">
      <alignment horizontal="left"/>
      <protection locked="0"/>
    </xf>
    <xf numFmtId="0" fontId="4" fillId="0" borderId="0" xfId="0" applyFont="1" applyAlignment="1">
      <alignment horizontal="left"/>
    </xf>
    <xf numFmtId="0" fontId="2" fillId="0" borderId="14" xfId="0" applyFont="1" applyBorder="1" applyAlignment="1" applyProtection="1">
      <alignment horizontal="left"/>
      <protection locked="0"/>
    </xf>
    <xf numFmtId="0" fontId="2" fillId="0" borderId="16" xfId="0" applyFont="1" applyBorder="1" applyAlignment="1" applyProtection="1">
      <alignment horizontal="left"/>
      <protection locked="0"/>
    </xf>
  </cellXfs>
  <cellStyles count="2">
    <cellStyle name="Normal" xfId="0" builtinId="0"/>
    <cellStyle name="Normal 5" xfId="1" xr:uid="{5DBF72BD-41D6-418B-A34C-A6B174BF9063}"/>
  </cellStyles>
  <dxfs count="86">
    <dxf>
      <fill>
        <patternFill>
          <bgColor theme="3" tint="0.89996032593768116"/>
        </patternFill>
      </fill>
    </dxf>
    <dxf>
      <font>
        <color theme="2"/>
      </font>
      <fill>
        <patternFill>
          <bgColor theme="2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499984740745262"/>
        </patternFill>
      </fill>
    </dxf>
    <dxf>
      <fill>
        <patternFill>
          <bgColor theme="0" tint="-0.24994659260841701"/>
        </patternFill>
      </fill>
    </dxf>
    <dxf>
      <fill>
        <patternFill>
          <bgColor theme="3" tint="0.89996032593768116"/>
        </patternFill>
      </fill>
    </dxf>
    <dxf>
      <font>
        <color theme="2"/>
      </font>
      <fill>
        <patternFill>
          <bgColor theme="2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499984740745262"/>
        </patternFill>
      </fill>
    </dxf>
    <dxf>
      <fill>
        <patternFill>
          <bgColor theme="0" tint="-0.24994659260841701"/>
        </patternFill>
      </fill>
    </dxf>
    <dxf>
      <fill>
        <patternFill>
          <bgColor theme="3" tint="0.89996032593768116"/>
        </patternFill>
      </fill>
    </dxf>
    <dxf>
      <font>
        <color theme="2"/>
      </font>
      <fill>
        <patternFill>
          <bgColor theme="2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499984740745262"/>
        </patternFill>
      </fill>
    </dxf>
    <dxf>
      <fill>
        <patternFill>
          <bgColor theme="0" tint="-0.24994659260841701"/>
        </patternFill>
      </fill>
    </dxf>
    <dxf>
      <fill>
        <patternFill>
          <bgColor theme="3" tint="0.89996032593768116"/>
        </patternFill>
      </fill>
    </dxf>
    <dxf>
      <font>
        <color theme="2"/>
      </font>
      <fill>
        <patternFill>
          <bgColor theme="2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499984740745262"/>
        </patternFill>
      </fill>
    </dxf>
    <dxf>
      <fill>
        <patternFill>
          <bgColor theme="0" tint="-0.24994659260841701"/>
        </patternFill>
      </fill>
    </dxf>
    <dxf>
      <fill>
        <patternFill>
          <bgColor theme="3" tint="0.89996032593768116"/>
        </patternFill>
      </fill>
    </dxf>
    <dxf>
      <font>
        <color theme="2"/>
      </font>
      <fill>
        <patternFill>
          <bgColor theme="2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499984740745262"/>
        </patternFill>
      </fill>
    </dxf>
    <dxf>
      <fill>
        <patternFill>
          <bgColor theme="0" tint="-0.24994659260841701"/>
        </patternFill>
      </fill>
    </dxf>
    <dxf>
      <fill>
        <patternFill>
          <bgColor theme="3" tint="0.89996032593768116"/>
        </patternFill>
      </fill>
    </dxf>
    <dxf>
      <font>
        <color theme="2"/>
      </font>
      <fill>
        <patternFill>
          <bgColor theme="2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499984740745262"/>
        </patternFill>
      </fill>
    </dxf>
    <dxf>
      <fill>
        <patternFill>
          <bgColor theme="0" tint="-0.24994659260841701"/>
        </patternFill>
      </fill>
    </dxf>
    <dxf>
      <fill>
        <patternFill>
          <bgColor theme="3" tint="0.89996032593768116"/>
        </patternFill>
      </fill>
    </dxf>
    <dxf>
      <font>
        <color theme="2"/>
      </font>
      <fill>
        <patternFill>
          <bgColor theme="2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499984740745262"/>
        </patternFill>
      </fill>
    </dxf>
    <dxf>
      <fill>
        <patternFill>
          <bgColor theme="0" tint="-0.24994659260841701"/>
        </patternFill>
      </fill>
    </dxf>
    <dxf>
      <fill>
        <patternFill>
          <bgColor theme="3" tint="0.89996032593768116"/>
        </patternFill>
      </fill>
    </dxf>
    <dxf>
      <font>
        <color theme="2"/>
      </font>
      <fill>
        <patternFill>
          <bgColor theme="2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499984740745262"/>
        </patternFill>
      </fill>
    </dxf>
    <dxf>
      <fill>
        <patternFill>
          <bgColor theme="0" tint="-0.24994659260841701"/>
        </patternFill>
      </fill>
    </dxf>
    <dxf>
      <fill>
        <patternFill>
          <bgColor theme="3" tint="0.89996032593768116"/>
        </patternFill>
      </fill>
    </dxf>
    <dxf>
      <font>
        <color theme="2"/>
      </font>
      <fill>
        <patternFill>
          <bgColor theme="2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499984740745262"/>
        </patternFill>
      </fill>
    </dxf>
    <dxf>
      <fill>
        <patternFill>
          <bgColor theme="0" tint="-0.24994659260841701"/>
        </patternFill>
      </fill>
    </dxf>
    <dxf>
      <fill>
        <patternFill>
          <bgColor theme="3" tint="0.89996032593768116"/>
        </patternFill>
      </fill>
    </dxf>
    <dxf>
      <font>
        <color theme="2"/>
      </font>
      <fill>
        <patternFill>
          <bgColor theme="2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499984740745262"/>
        </patternFill>
      </fill>
    </dxf>
    <dxf>
      <fill>
        <patternFill>
          <bgColor theme="0" tint="-0.24994659260841701"/>
        </patternFill>
      </fill>
    </dxf>
    <dxf>
      <fill>
        <patternFill>
          <bgColor theme="3" tint="0.89996032593768116"/>
        </patternFill>
      </fill>
    </dxf>
    <dxf>
      <font>
        <color theme="2"/>
      </font>
      <fill>
        <patternFill>
          <bgColor theme="2"/>
        </patternFill>
      </fill>
    </dxf>
    <dxf>
      <fill>
        <patternFill>
          <bgColor theme="3" tint="0.89996032593768116"/>
        </patternFill>
      </fill>
    </dxf>
    <dxf>
      <font>
        <color theme="2"/>
      </font>
      <fill>
        <patternFill>
          <bgColor theme="2"/>
        </patternFill>
      </fill>
    </dxf>
    <dxf>
      <fill>
        <patternFill>
          <bgColor theme="3" tint="0.89996032593768116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 style="thin">
          <color auto="1"/>
        </top>
        <bottom/>
      </border>
    </dxf>
    <dxf>
      <fill>
        <patternFill>
          <bgColor theme="3" tint="0.499984740745262"/>
        </patternFill>
      </fill>
    </dxf>
    <dxf>
      <fill>
        <patternFill>
          <bgColor theme="0" tint="-0.24994659260841701"/>
        </patternFill>
      </fill>
    </dxf>
    <dxf>
      <fill>
        <patternFill>
          <bgColor theme="3" tint="0.89996032593768116"/>
        </patternFill>
      </fill>
    </dxf>
    <dxf>
      <font>
        <color theme="2"/>
      </font>
      <fill>
        <patternFill>
          <bgColor theme="2"/>
        </patternFill>
      </fill>
    </dxf>
    <dxf>
      <fill>
        <patternFill>
          <bgColor theme="3" tint="0.89996032593768116"/>
        </patternFill>
      </fill>
    </dxf>
    <dxf>
      <fill>
        <patternFill>
          <bgColor theme="0" tint="-0.24994659260841701"/>
        </patternFill>
      </fill>
    </dxf>
    <dxf>
      <fill>
        <patternFill>
          <bgColor theme="3" tint="0.499984740745262"/>
        </patternFill>
      </fill>
    </dxf>
    <dxf>
      <fill>
        <patternFill>
          <bgColor theme="3" tint="0.89996032593768116"/>
        </patternFill>
      </fill>
    </dxf>
    <dxf>
      <font>
        <color theme="2"/>
      </font>
      <fill>
        <patternFill>
          <bgColor theme="2"/>
        </patternFill>
      </fill>
    </dxf>
    <dxf>
      <fill>
        <patternFill>
          <bgColor theme="3" tint="0.89996032593768116"/>
        </patternFill>
      </fill>
    </dxf>
    <dxf>
      <font>
        <color theme="2"/>
      </font>
      <fill>
        <patternFill>
          <bgColor theme="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U Passata"/>
        <family val="2"/>
        <scheme val="none"/>
      </font>
      <numFmt numFmtId="2" formatCode="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U Passata"/>
        <family val="2"/>
        <scheme val="none"/>
      </font>
      <numFmt numFmtId="2" formatCode="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U Passata"/>
        <family val="2"/>
        <scheme val="none"/>
      </font>
      <numFmt numFmtId="2" formatCode="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U Passata"/>
        <family val="2"/>
        <scheme val="none"/>
      </font>
      <numFmt numFmtId="2" formatCode="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U Passata"/>
        <family val="2"/>
        <scheme val="none"/>
      </font>
      <numFmt numFmtId="2" formatCode="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U Passata"/>
        <family val="2"/>
        <scheme val="none"/>
      </font>
      <numFmt numFmtId="2" formatCode="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U Passata"/>
        <family val="2"/>
        <scheme val="none"/>
      </font>
      <numFmt numFmtId="2" formatCode="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U Passata"/>
        <family val="2"/>
        <scheme val="none"/>
      </font>
      <numFmt numFmtId="2" formatCode="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U Passata"/>
        <family val="2"/>
        <scheme val="none"/>
      </font>
      <numFmt numFmtId="2" formatCode="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U Passata"/>
        <family val="2"/>
        <scheme val="none"/>
      </font>
      <numFmt numFmtId="2" formatCode="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U Passata"/>
        <family val="2"/>
        <scheme val="none"/>
      </font>
      <numFmt numFmtId="2" formatCode="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U Passata"/>
        <family val="2"/>
        <scheme val="none"/>
      </font>
      <numFmt numFmtId="2" formatCode="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U Passata"/>
        <family val="2"/>
        <scheme val="none"/>
      </font>
      <numFmt numFmtId="2" formatCode="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U Passata"/>
        <family val="2"/>
        <scheme val="none"/>
      </font>
      <numFmt numFmtId="2" formatCode="0.0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U Passata"/>
        <family val="2"/>
        <scheme val="none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U Passata"/>
        <family val="2"/>
        <scheme val="none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U Passata"/>
        <family val="2"/>
        <scheme val="none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U Passata"/>
        <family val="2"/>
        <scheme val="none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U Passata"/>
        <family val="2"/>
        <scheme val="none"/>
      </font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microsoft.com/office/2022/11/relationships/FeaturePropertyBag" Target="featurePropertyBag/featurePropertyBag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250099</xdr:colOff>
      <xdr:row>0</xdr:row>
      <xdr:rowOff>186319</xdr:rowOff>
    </xdr:from>
    <xdr:to>
      <xdr:col>33</xdr:col>
      <xdr:colOff>301262</xdr:colOff>
      <xdr:row>40</xdr:row>
      <xdr:rowOff>54429</xdr:rowOff>
    </xdr:to>
    <xdr:sp macro="" textlink="">
      <xdr:nvSpPr>
        <xdr:cNvPr id="2" name="Tekstfelt 1">
          <a:extLst>
            <a:ext uri="{FF2B5EF4-FFF2-40B4-BE49-F238E27FC236}">
              <a16:creationId xmlns:a16="http://schemas.microsoft.com/office/drawing/2014/main" id="{F92E92CE-5A72-4AF4-8849-96BB63FC2595}"/>
            </a:ext>
          </a:extLst>
        </xdr:cNvPr>
        <xdr:cNvSpPr txBox="1"/>
      </xdr:nvSpPr>
      <xdr:spPr>
        <a:xfrm>
          <a:off x="8727349" y="186319"/>
          <a:ext cx="7004413" cy="8086824"/>
        </a:xfrm>
        <a:prstGeom prst="rect">
          <a:avLst/>
        </a:prstGeom>
        <a:solidFill>
          <a:schemeClr val="tx2">
            <a:lumMod val="10000"/>
            <a:lumOff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a-DK" sz="2000" b="1" u="sng">
              <a:latin typeface="AU Passata" panose="020B0503030502030804" pitchFamily="34" charset="0"/>
            </a:rPr>
            <a:t>Mini</a:t>
          </a:r>
          <a:r>
            <a:rPr lang="da-DK" sz="2000" b="1" u="sng" baseline="0">
              <a:latin typeface="AU Passata" panose="020B0503030502030804" pitchFamily="34" charset="0"/>
            </a:rPr>
            <a:t>guide til arbejdstidsskema</a:t>
          </a:r>
        </a:p>
        <a:p>
          <a:endParaRPr lang="da-DK" sz="1100">
            <a:latin typeface="AU Passata" panose="020B0503030502030804" pitchFamily="34" charset="0"/>
          </a:endParaRPr>
        </a:p>
        <a:p>
          <a:r>
            <a:rPr lang="da-DK" sz="1100" b="1" u="sng">
              <a:latin typeface="AU Passata" panose="020B0503030502030804" pitchFamily="34" charset="0"/>
            </a:rPr>
            <a:t>Guide</a:t>
          </a:r>
          <a:r>
            <a:rPr lang="da-DK" sz="1100" b="1" u="sng" baseline="0">
              <a:latin typeface="AU Passata" panose="020B0503030502030804" pitchFamily="34" charset="0"/>
            </a:rPr>
            <a:t> til</a:t>
          </a:r>
          <a:r>
            <a:rPr lang="da-DK" sz="1100" b="1" u="sng">
              <a:latin typeface="AU Passata" panose="020B0503030502030804" pitchFamily="34" charset="0"/>
            </a:rPr>
            <a:t> fanen med Masterdata:</a:t>
          </a:r>
        </a:p>
        <a:p>
          <a:endParaRPr lang="da-DK" sz="1100" b="1" u="sng">
            <a:latin typeface="AU Passata" panose="020B0503030502030804" pitchFamily="34" charset="0"/>
          </a:endParaRPr>
        </a:p>
        <a:p>
          <a:r>
            <a:rPr lang="da-DK" sz="1100">
              <a:latin typeface="AU Passata" panose="020B0503030502030804" pitchFamily="34" charset="0"/>
            </a:rPr>
            <a:t>Du står nu på fanen Masterdata, hvor du kan udfylde de gule felter under ”stamdata”. </a:t>
          </a:r>
          <a:br>
            <a:rPr lang="da-DK" sz="1100">
              <a:latin typeface="AU Passata" panose="020B0503030502030804" pitchFamily="34" charset="0"/>
            </a:rPr>
          </a:br>
          <a:endParaRPr lang="da-DK" sz="1100">
            <a:latin typeface="AU Passata" panose="020B0503030502030804" pitchFamily="34" charset="0"/>
          </a:endParaRPr>
        </a:p>
        <a:p>
          <a:r>
            <a:rPr lang="da-DK" sz="1100">
              <a:latin typeface="AU Passata" panose="020B0503030502030804" pitchFamily="34" charset="0"/>
            </a:rPr>
            <a:t>På denne fane får du:</a:t>
          </a:r>
        </a:p>
        <a:p>
          <a:br>
            <a:rPr lang="da-DK" sz="1100">
              <a:latin typeface="AU Passata" panose="020B0503030502030804" pitchFamily="34" charset="0"/>
            </a:rPr>
          </a:br>
          <a:r>
            <a:rPr lang="da-DK" sz="1100">
              <a:latin typeface="AU Passata" panose="020B0503030502030804" pitchFamily="34" charset="0"/>
            </a:rPr>
            <a:t>- Det aktuelle overblik over din samlede totale afvigelse fra normtiden for indeværende år til dato.</a:t>
          </a:r>
        </a:p>
        <a:p>
          <a:r>
            <a:rPr lang="da-DK" sz="1100">
              <a:latin typeface="AU Passata" panose="020B0503030502030804" pitchFamily="34" charset="0"/>
            </a:rPr>
            <a:t>- En opsummering på hver måneds arbejdstid.</a:t>
          </a:r>
        </a:p>
        <a:p>
          <a:br>
            <a:rPr lang="da-DK" sz="1100">
              <a:latin typeface="AU Passata" panose="020B0503030502030804" pitchFamily="34" charset="0"/>
            </a:rPr>
          </a:br>
          <a:r>
            <a:rPr lang="da-DK" sz="1100">
              <a:latin typeface="AU Passata" panose="020B0503030502030804" pitchFamily="34" charset="0"/>
            </a:rPr>
            <a:t>Hvis du har en anden normtid end 37 timer/ugen, skal arbejdstiden ændres på den enkelte måneds fane.</a:t>
          </a:r>
        </a:p>
        <a:p>
          <a:br>
            <a:rPr lang="da-DK" sz="1100">
              <a:latin typeface="AU Passata" panose="020B0503030502030804" pitchFamily="34" charset="0"/>
            </a:rPr>
          </a:br>
          <a:r>
            <a:rPr lang="da-DK" sz="1100">
              <a:latin typeface="AU Passata" panose="020B0503030502030804" pitchFamily="34" charset="0"/>
            </a:rPr>
            <a:t>Hvis du har timer, der skal overføres fra tidligere år, skal du tilføje dem på denne fane. Benyt formattet TT:MM,</a:t>
          </a:r>
          <a:r>
            <a:rPr lang="da-DK" sz="1100" baseline="0">
              <a:latin typeface="AU Passata" panose="020B0503030502030804" pitchFamily="34" charset="0"/>
            </a:rPr>
            <a:t> fx underskud på 5 timer of 12 minutter angives som: -05:12</a:t>
          </a:r>
          <a:endParaRPr lang="da-DK" sz="1100">
            <a:latin typeface="AU Passata" panose="020B0503030502030804" pitchFamily="34" charset="0"/>
          </a:endParaRPr>
        </a:p>
        <a:p>
          <a:br>
            <a:rPr lang="da-DK" sz="1100">
              <a:latin typeface="AU Passata" panose="020B0503030502030804" pitchFamily="34" charset="0"/>
            </a:rPr>
          </a:br>
          <a:r>
            <a:rPr lang="da-DK" sz="1100">
              <a:latin typeface="AU Passata" panose="020B0503030502030804" pitchFamily="34" charset="0"/>
            </a:rPr>
            <a:t>Du kan kun udfylde de gule felter under ”stamdata” (de øvrige felter er låst, så de bagvedliggende formler ikke kan overskrives)</a:t>
          </a:r>
        </a:p>
        <a:p>
          <a:endParaRPr lang="da-DK" sz="1100">
            <a:latin typeface="AU Passata" panose="020B0503030502030804" pitchFamily="34" charset="0"/>
          </a:endParaRPr>
        </a:p>
        <a:p>
          <a:r>
            <a:rPr lang="da-DK" sz="1100">
              <a:solidFill>
                <a:sysClr val="windowText" lastClr="000000"/>
              </a:solidFill>
              <a:latin typeface="AU Passata" panose="020B0503030502030804" pitchFamily="34" charset="0"/>
            </a:rPr>
            <a:t>Lommeregneren for faktisk timetal kan benyttes til at udregne det</a:t>
          </a:r>
          <a:r>
            <a:rPr lang="da-DK" sz="1100" baseline="0">
              <a:solidFill>
                <a:sysClr val="windowText" lastClr="000000"/>
              </a:solidFill>
              <a:latin typeface="AU Passata" panose="020B0503030502030804" pitchFamily="34" charset="0"/>
            </a:rPr>
            <a:t> samlede timetal i tilfælde, hvor der arbejdes i flere opdelte intervaller på samme dag, f.eks. arbejdes morgen og aften med fri over middagen.</a:t>
          </a:r>
          <a:endParaRPr lang="da-DK" sz="1100">
            <a:solidFill>
              <a:sysClr val="windowText" lastClr="000000"/>
            </a:solidFill>
            <a:latin typeface="AU Passata" panose="020B0503030502030804" pitchFamily="34" charset="0"/>
          </a:endParaRPr>
        </a:p>
        <a:p>
          <a:endParaRPr lang="da-DK" sz="1100">
            <a:latin typeface="AU Passata" panose="020B0503030502030804" pitchFamily="34" charset="0"/>
          </a:endParaRPr>
        </a:p>
        <a:p>
          <a:r>
            <a:rPr lang="da-DK" sz="1100" b="1" i="0" u="sng">
              <a:latin typeface="AU Passata" panose="020B0503030502030804" pitchFamily="34" charset="0"/>
            </a:rPr>
            <a:t>Guide</a:t>
          </a:r>
          <a:r>
            <a:rPr lang="da-DK" sz="1100" b="1" i="0" u="sng" baseline="0">
              <a:latin typeface="AU Passata" panose="020B0503030502030804" pitchFamily="34" charset="0"/>
            </a:rPr>
            <a:t> til</a:t>
          </a:r>
          <a:r>
            <a:rPr lang="da-DK" sz="1100" b="1" i="0" u="sng">
              <a:latin typeface="AU Passata" panose="020B0503030502030804" pitchFamily="34" charset="0"/>
            </a:rPr>
            <a:t> faner med måneder</a:t>
          </a:r>
          <a:r>
            <a:rPr lang="da-DK" sz="1100" b="1" i="0" u="sng" baseline="0">
              <a:latin typeface="AU Passata" panose="020B0503030502030804" pitchFamily="34" charset="0"/>
            </a:rPr>
            <a:t>:fs</a:t>
          </a:r>
        </a:p>
        <a:p>
          <a:endParaRPr lang="da-DK" sz="1100" b="0" i="0" u="sng">
            <a:latin typeface="AU Passata" panose="020B0503030502030804" pitchFamily="34" charset="0"/>
          </a:endParaRPr>
        </a:p>
        <a:p>
          <a:r>
            <a:rPr lang="da-DK" sz="1100" b="0" i="0" u="none">
              <a:latin typeface="AU Passata" panose="020B0503030502030804" pitchFamily="34" charset="0"/>
            </a:rPr>
            <a:t>Fanerne er præudfyldt til en normtid på 37 timer/ugen og en daglig normtid på 7 timer og 24 minutter. </a:t>
          </a:r>
        </a:p>
        <a:p>
          <a:endParaRPr lang="da-DK" sz="1100" b="0" i="0" u="none">
            <a:latin typeface="AU Passata" panose="020B0503030502030804" pitchFamily="34" charset="0"/>
          </a:endParaRPr>
        </a:p>
        <a:p>
          <a:r>
            <a:rPr lang="da-DK" sz="1100" b="0" i="0" u="none">
              <a:latin typeface="AU Passata" panose="020B0503030502030804" pitchFamily="34" charset="0"/>
            </a:rPr>
            <a:t>En normal dag uden afvigelser har koden ”N”. Hvis du skal specificere din arbejdstid, skal du på den pågældende dag ændre koden fra ”N” til ”R” i feltet ”kode”. Ellers kan du ikke redigere i felterne. </a:t>
          </a:r>
        </a:p>
        <a:p>
          <a:endParaRPr lang="da-DK" sz="1100" b="0" i="0" u="none">
            <a:latin typeface="AU Passata" panose="020B0503030502030804" pitchFamily="34" charset="0"/>
          </a:endParaRPr>
        </a:p>
        <a:p>
          <a:r>
            <a:rPr lang="da-DK" sz="1100" b="0" i="0" u="none">
              <a:latin typeface="AU Passata" panose="020B0503030502030804" pitchFamily="34" charset="0"/>
            </a:rPr>
            <a:t>Når ”R” er valgt, skal du vælge enten at indtaste komme- og gåtid (start-slut), eller indtaste din samlede arbejdstid for dagen i kolonnen ”Faktisk arbejdstid”. Hvis begge formater anvendes samtidig er det kun "Faktisk-arbejdstid" der slår igennem.</a:t>
          </a:r>
        </a:p>
        <a:p>
          <a:endParaRPr lang="da-DK" sz="1100" b="0" i="0" u="none">
            <a:latin typeface="AU Passata" panose="020B0503030502030804" pitchFamily="34" charset="0"/>
          </a:endParaRPr>
        </a:p>
        <a:p>
          <a:r>
            <a:rPr lang="da-DK" sz="1100" b="0" i="0" u="none">
              <a:latin typeface="AU Passata" panose="020B0503030502030804" pitchFamily="34" charset="0"/>
            </a:rPr>
            <a:t>Alle tidspunkter oplyses som timer og minutter, fx 9:30 for 9 timer og 30 minutter. Husk kolon.</a:t>
          </a:r>
        </a:p>
        <a:p>
          <a:endParaRPr lang="da-DK" sz="1100" b="0" i="0" u="none">
            <a:latin typeface="AU Passata" panose="020B0503030502030804" pitchFamily="34" charset="0"/>
          </a:endParaRPr>
        </a:p>
        <a:p>
          <a:r>
            <a:rPr lang="da-DK" sz="1100" b="1" i="0" u="none">
              <a:latin typeface="AU Passata" panose="020B0503030502030804" pitchFamily="34" charset="0"/>
            </a:rPr>
            <a:t>Bemærk</a:t>
          </a:r>
          <a:r>
            <a:rPr lang="da-DK" sz="1100" b="0" i="0" u="none">
              <a:latin typeface="AU Passata" panose="020B0503030502030804" pitchFamily="34" charset="0"/>
            </a:rPr>
            <a:t>: Sygdom, ferie, orlov og andet lønnet fravær skal ikke registreres i arbejdstidsskemaet. Du skal registrere dette fravær i mitHR.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da-DK" sz="1100" baseline="0">
            <a:latin typeface="AU Passata" panose="020B0503030502030804" pitchFamily="34" charset="0"/>
          </a:endParaRPr>
        </a:p>
        <a:p>
          <a:r>
            <a:rPr lang="da-DK" sz="1100" b="1" u="sng" baseline="0">
              <a:latin typeface="AU Passata" panose="020B0503030502030804" pitchFamily="34" charset="0"/>
            </a:rPr>
            <a:t>Sådan gemmer du skemaet :</a:t>
          </a:r>
          <a:br>
            <a:rPr lang="da-DK" sz="1100" b="1" u="sng" baseline="0">
              <a:latin typeface="AU Passata" panose="020B0503030502030804" pitchFamily="34" charset="0"/>
            </a:rPr>
          </a:br>
          <a:endParaRPr lang="da-DK" sz="1100" b="1" u="sng" baseline="0">
            <a:latin typeface="AU Passata" panose="020B0503030502030804" pitchFamily="34" charset="0"/>
          </a:endParaRPr>
        </a:p>
        <a:p>
          <a:r>
            <a:rPr lang="da-DK" sz="1100" b="0" u="none" baseline="0">
              <a:latin typeface="AU Passata" panose="020B0503030502030804" pitchFamily="34" charset="0"/>
            </a:rPr>
            <a:t>Arbejdstidsskemaet gemmes på jeres lokale SharePoint site.</a:t>
          </a:r>
        </a:p>
        <a:p>
          <a:endParaRPr lang="da-DK" sz="1100" b="0" u="none" baseline="0">
            <a:latin typeface="AU Passata" panose="020B0503030502030804" pitchFamily="34" charset="0"/>
          </a:endParaRPr>
        </a:p>
        <a:p>
          <a:r>
            <a:rPr lang="da-DK" sz="1100" b="0" u="none" baseline="0">
              <a:latin typeface="AU Passata" panose="020B0503030502030804" pitchFamily="34" charset="0"/>
            </a:rPr>
            <a:t>Begræns adgangen, så det kun er dig og din leder, der kan se dit skema. Læs mere på medarbejdere.au.dk/arbejdstidsregistrering.</a:t>
          </a:r>
        </a:p>
        <a:p>
          <a:endParaRPr lang="da-DK" sz="1100" b="0" u="none" baseline="0">
            <a:latin typeface="AU Passata" panose="020B0503030502030804" pitchFamily="34" charset="0"/>
          </a:endParaRPr>
        </a:p>
        <a:p>
          <a:r>
            <a:rPr lang="da-DK">
              <a:latin typeface="AU Passata" panose="020B0503030502030804" pitchFamily="34" charset="0"/>
            </a:rPr>
            <a:t>Ved fratræden skal lederen også opbevare den fratrådte medarbejders arbejdstidsregistreringer i 5 år. Lederen markerer datoen for ophør i mappenavnet, når medarbejderen fratræder.</a:t>
          </a:r>
          <a:endParaRPr lang="da-DK" sz="1100" b="0" u="none" baseline="0">
            <a:latin typeface="AU Passata" panose="020B0503030502030804" pitchFamily="34" charset="0"/>
          </a:endParaRPr>
        </a:p>
        <a:p>
          <a:endParaRPr lang="da-DK" sz="1100" b="1" u="none" baseline="0">
            <a:latin typeface="AU Passata" panose="020B0503030502030804" pitchFamily="34" charset="0"/>
          </a:endParaRPr>
        </a:p>
      </xdr:txBody>
    </xdr:sp>
    <xdr:clientData/>
  </xdr:twoCellAnchor>
  <xdr:twoCellAnchor editAs="oneCell">
    <xdr:from>
      <xdr:col>4</xdr:col>
      <xdr:colOff>108856</xdr:colOff>
      <xdr:row>1</xdr:row>
      <xdr:rowOff>54429</xdr:rowOff>
    </xdr:from>
    <xdr:to>
      <xdr:col>6</xdr:col>
      <xdr:colOff>60143</xdr:colOff>
      <xdr:row>3</xdr:row>
      <xdr:rowOff>199852</xdr:rowOff>
    </xdr:to>
    <xdr:pic>
      <xdr:nvPicPr>
        <xdr:cNvPr id="4" name="Billede 1">
          <a:extLst>
            <a:ext uri="{FF2B5EF4-FFF2-40B4-BE49-F238E27FC236}">
              <a16:creationId xmlns:a16="http://schemas.microsoft.com/office/drawing/2014/main" id="{51866BCF-628A-4B9B-A3CA-A51E52BA20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19749" y="258536"/>
          <a:ext cx="2346144" cy="56724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13606</xdr:colOff>
      <xdr:row>0</xdr:row>
      <xdr:rowOff>122465</xdr:rowOff>
    </xdr:from>
    <xdr:to>
      <xdr:col>8</xdr:col>
      <xdr:colOff>346165</xdr:colOff>
      <xdr:row>2</xdr:row>
      <xdr:rowOff>34390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92F36682-CD09-494D-BC1B-58CA725B6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91146" y="122465"/>
          <a:ext cx="2382339" cy="56724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13606</xdr:colOff>
      <xdr:row>0</xdr:row>
      <xdr:rowOff>122465</xdr:rowOff>
    </xdr:from>
    <xdr:to>
      <xdr:col>8</xdr:col>
      <xdr:colOff>346165</xdr:colOff>
      <xdr:row>2</xdr:row>
      <xdr:rowOff>32485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A65E1A42-BA90-4E9C-A32F-0329108C9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91146" y="122465"/>
          <a:ext cx="2382339" cy="56724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13606</xdr:colOff>
      <xdr:row>0</xdr:row>
      <xdr:rowOff>122465</xdr:rowOff>
    </xdr:from>
    <xdr:to>
      <xdr:col>8</xdr:col>
      <xdr:colOff>346165</xdr:colOff>
      <xdr:row>2</xdr:row>
      <xdr:rowOff>32485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A5977F98-CDC8-4F02-A603-FC7E205622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91146" y="122465"/>
          <a:ext cx="2382339" cy="56724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13606</xdr:colOff>
      <xdr:row>0</xdr:row>
      <xdr:rowOff>122465</xdr:rowOff>
    </xdr:from>
    <xdr:to>
      <xdr:col>8</xdr:col>
      <xdr:colOff>346165</xdr:colOff>
      <xdr:row>2</xdr:row>
      <xdr:rowOff>32485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08C3C61A-A22C-4E73-9883-5B640D807D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91146" y="122465"/>
          <a:ext cx="2382339" cy="5672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13606</xdr:colOff>
      <xdr:row>0</xdr:row>
      <xdr:rowOff>122465</xdr:rowOff>
    </xdr:from>
    <xdr:to>
      <xdr:col>8</xdr:col>
      <xdr:colOff>346165</xdr:colOff>
      <xdr:row>2</xdr:row>
      <xdr:rowOff>32485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CC115595-9918-4469-AB79-054491DD36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91146" y="122465"/>
          <a:ext cx="2382339" cy="56724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13607</xdr:colOff>
      <xdr:row>0</xdr:row>
      <xdr:rowOff>122466</xdr:rowOff>
    </xdr:from>
    <xdr:to>
      <xdr:col>8</xdr:col>
      <xdr:colOff>346157</xdr:colOff>
      <xdr:row>2</xdr:row>
      <xdr:rowOff>31716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D8F48564-6D18-4944-8018-08642D9C0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02428" y="122466"/>
          <a:ext cx="2332800" cy="576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13606</xdr:colOff>
      <xdr:row>0</xdr:row>
      <xdr:rowOff>122465</xdr:rowOff>
    </xdr:from>
    <xdr:to>
      <xdr:col>7</xdr:col>
      <xdr:colOff>346165</xdr:colOff>
      <xdr:row>2</xdr:row>
      <xdr:rowOff>32485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2FA7767F-47D5-4E93-80EB-5E2E47CBAE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91146" y="122465"/>
          <a:ext cx="2382339" cy="56724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13606</xdr:colOff>
      <xdr:row>0</xdr:row>
      <xdr:rowOff>122465</xdr:rowOff>
    </xdr:from>
    <xdr:to>
      <xdr:col>8</xdr:col>
      <xdr:colOff>346165</xdr:colOff>
      <xdr:row>2</xdr:row>
      <xdr:rowOff>32485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BF8324F3-A6F5-4BA4-96DB-ACAF616AAA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09231" y="122465"/>
          <a:ext cx="2323284" cy="57105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13606</xdr:colOff>
      <xdr:row>0</xdr:row>
      <xdr:rowOff>122465</xdr:rowOff>
    </xdr:from>
    <xdr:to>
      <xdr:col>8</xdr:col>
      <xdr:colOff>346165</xdr:colOff>
      <xdr:row>2</xdr:row>
      <xdr:rowOff>34390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19CC540E-B8DB-46B5-8257-5B6BB8FBA8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09231" y="122465"/>
          <a:ext cx="2323284" cy="57105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13606</xdr:colOff>
      <xdr:row>0</xdr:row>
      <xdr:rowOff>122465</xdr:rowOff>
    </xdr:from>
    <xdr:to>
      <xdr:col>8</xdr:col>
      <xdr:colOff>346165</xdr:colOff>
      <xdr:row>2</xdr:row>
      <xdr:rowOff>32485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CDD0574B-2B16-4D0E-90CC-FC7CA0413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91146" y="122465"/>
          <a:ext cx="2382339" cy="56724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13606</xdr:colOff>
      <xdr:row>0</xdr:row>
      <xdr:rowOff>122465</xdr:rowOff>
    </xdr:from>
    <xdr:to>
      <xdr:col>8</xdr:col>
      <xdr:colOff>346165</xdr:colOff>
      <xdr:row>2</xdr:row>
      <xdr:rowOff>32485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BF2E6736-F9C1-46D2-AAE7-1979C22389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91146" y="122465"/>
          <a:ext cx="2382339" cy="56724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13606</xdr:colOff>
      <xdr:row>0</xdr:row>
      <xdr:rowOff>122465</xdr:rowOff>
    </xdr:from>
    <xdr:to>
      <xdr:col>8</xdr:col>
      <xdr:colOff>346165</xdr:colOff>
      <xdr:row>2</xdr:row>
      <xdr:rowOff>32485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9F65D250-B3EC-49FC-867D-B0F1248D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91146" y="122465"/>
          <a:ext cx="2382339" cy="56724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O:\FA_ADM-PERSONDATA\03%20Arbejdsmapper\Kasper\Tidsregistreringsskema\Skabelon%20-%20Fleksskema%202024.xlsx" TargetMode="External"/><Relationship Id="rId1" Type="http://schemas.openxmlformats.org/officeDocument/2006/relationships/externalLinkPath" Target="https://aarhusuniversitet.sharepoint.com/sites/FAArbejdstidsregistrering/Delte%20dokumenter/General/arbejdsgruppe%20for%20system/Skabelon%20-%20Fleksskema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tatus"/>
      <sheetName val="Januar"/>
      <sheetName val="Februar"/>
      <sheetName val="Marts"/>
      <sheetName val="April"/>
      <sheetName val="Maj"/>
      <sheetName val="Juni"/>
      <sheetName val="Juli"/>
      <sheetName val="August"/>
      <sheetName val="September"/>
      <sheetName val="Oktober"/>
      <sheetName val="November"/>
      <sheetName val="December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86350E5-8A1F-4283-A8DB-4C416817F233}" name="Tabel_Oversigt" displayName="Tabel_Oversigt" ref="K9:AA10" totalsRowShown="0" headerRowDxfId="85" dataDxfId="84">
  <autoFilter ref="K9:AA10" xr:uid="{986350E5-8A1F-4283-A8DB-4C416817F233}"/>
  <tableColumns count="17">
    <tableColumn id="1" xr3:uid="{E9E7A195-1B4A-483B-95F5-7D4CBA01E8B3}" name="Navn" dataDxfId="83">
      <calculatedColumnFormula>$B$6</calculatedColumnFormula>
    </tableColumn>
    <tableColumn id="2" xr3:uid="{19B6E750-B8ED-4762-85CE-2B1F6566EABD}" name="År" dataDxfId="82">
      <calculatedColumnFormula>$B$5</calculatedColumnFormula>
    </tableColumn>
    <tableColumn id="3" xr3:uid="{6B55AE61-03F7-4F16-AB1B-2C5E7CC6032A}" name="AU-ID" dataDxfId="81">
      <calculatedColumnFormula>$B$7</calculatedColumnFormula>
    </tableColumn>
    <tableColumn id="17" xr3:uid="{D7B9C85E-92E4-41ED-AABB-8D121FF11E1E}" name="Overført fra tidligere perioder" dataDxfId="80">
      <calculatedColumnFormula>$B$8</calculatedColumnFormula>
    </tableColumn>
    <tableColumn id="4" xr3:uid="{34A41D08-6196-497D-B2F4-991F225F9BF4}" name="Forskel" dataDxfId="79">
      <calculatedColumnFormula>#REF!</calculatedColumnFormula>
    </tableColumn>
    <tableColumn id="5" xr3:uid="{DC891771-1E7B-460F-A02F-A7ACE38EA3F3}" name="Januar" dataDxfId="78">
      <calculatedColumnFormula>#REF!</calculatedColumnFormula>
    </tableColumn>
    <tableColumn id="6" xr3:uid="{B8666C2B-D5C2-49F1-8008-9C9CEA5E99A8}" name="Februar" dataDxfId="77">
      <calculatedColumnFormula>#REF!</calculatedColumnFormula>
    </tableColumn>
    <tableColumn id="7" xr3:uid="{9F0A143D-AB89-43EC-80C4-6FE82EB215AD}" name="Marts" dataDxfId="76">
      <calculatedColumnFormula>#REF!</calculatedColumnFormula>
    </tableColumn>
    <tableColumn id="8" xr3:uid="{BDBF02A8-7BDA-49EA-BD8D-DE6F49ED89EE}" name="April" dataDxfId="75">
      <calculatedColumnFormula>#REF!</calculatedColumnFormula>
    </tableColumn>
    <tableColumn id="9" xr3:uid="{9AD077EC-2164-4485-AD55-34087566DF61}" name="Maj" dataDxfId="74">
      <calculatedColumnFormula>#REF!</calculatedColumnFormula>
    </tableColumn>
    <tableColumn id="10" xr3:uid="{60624C36-9EEF-4AF2-9F9B-23D44263EBA3}" name="Juni" dataDxfId="73">
      <calculatedColumnFormula>#REF!</calculatedColumnFormula>
    </tableColumn>
    <tableColumn id="11" xr3:uid="{3A8A1158-A357-4C9A-A7FF-2E54FE1A49D2}" name="Juli" dataDxfId="72">
      <calculatedColumnFormula>$C$21</calculatedColumnFormula>
    </tableColumn>
    <tableColumn id="12" xr3:uid="{F356F568-65B0-4725-9848-9F88C9CBA02A}" name="August" dataDxfId="71">
      <calculatedColumnFormula>$C$22</calculatedColumnFormula>
    </tableColumn>
    <tableColumn id="13" xr3:uid="{B0E1B697-CA2E-4540-B9EA-B1D9CAB07910}" name="September" dataDxfId="70">
      <calculatedColumnFormula>$C$23</calculatedColumnFormula>
    </tableColumn>
    <tableColumn id="14" xr3:uid="{DD03CAB0-78D8-44D3-8ACD-FA4EAB61E38E}" name="Oktober" dataDxfId="69">
      <calculatedColumnFormula>$C$24</calculatedColumnFormula>
    </tableColumn>
    <tableColumn id="15" xr3:uid="{6828FFDC-9233-41EB-B5AC-78DE7F8C4BBC}" name="November" dataDxfId="68">
      <calculatedColumnFormula>$C$25</calculatedColumnFormula>
    </tableColumn>
    <tableColumn id="16" xr3:uid="{A5A63A89-0D8F-4F0E-AE7B-128AE7A53264}" name="December" dataDxfId="67">
      <calculatedColumnFormula>$C$26</calculatedColumnFormula>
    </tableColumn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1C3E6-5093-4900-9CFE-1EC710506BA4}">
  <sheetPr codeName="Ark1"/>
  <dimension ref="A1:BA62"/>
  <sheetViews>
    <sheetView tabSelected="1" zoomScale="70" zoomScaleNormal="70" workbookViewId="0">
      <selection activeCell="A3" sqref="A3"/>
    </sheetView>
  </sheetViews>
  <sheetFormatPr defaultRowHeight="14.4" outlineLevelCol="1" x14ac:dyDescent="0.3"/>
  <cols>
    <col min="1" max="1" width="49" customWidth="1"/>
    <col min="2" max="2" width="15.6640625" customWidth="1"/>
    <col min="3" max="3" width="18.88671875" hidden="1" customWidth="1" outlineLevel="1"/>
    <col min="4" max="4" width="26.44140625" customWidth="1" collapsed="1"/>
    <col min="5" max="6" width="17.88671875" customWidth="1"/>
    <col min="7" max="7" width="18.33203125" bestFit="1" customWidth="1"/>
    <col min="8" max="8" width="12.44140625" bestFit="1" customWidth="1"/>
    <col min="11" max="11" width="9.109375" hidden="1" customWidth="1" outlineLevel="1"/>
    <col min="12" max="19" width="14" hidden="1" customWidth="1" outlineLevel="1"/>
    <col min="20" max="22" width="9.109375" hidden="1" customWidth="1" outlineLevel="1"/>
    <col min="23" max="23" width="9.5546875" hidden="1" customWidth="1" outlineLevel="1"/>
    <col min="24" max="24" width="13.6640625" hidden="1" customWidth="1" outlineLevel="1"/>
    <col min="25" max="25" width="10.88671875" hidden="1" customWidth="1" outlineLevel="1"/>
    <col min="26" max="26" width="13.109375" hidden="1" customWidth="1" outlineLevel="1"/>
    <col min="27" max="27" width="13" hidden="1" customWidth="1" outlineLevel="1"/>
    <col min="28" max="28" width="9.109375" collapsed="1"/>
    <col min="35" max="35" width="12.88671875" hidden="1" customWidth="1" outlineLevel="1"/>
    <col min="36" max="36" width="9.109375" hidden="1" customWidth="1" outlineLevel="1"/>
    <col min="37" max="37" width="16.109375" hidden="1" customWidth="1" outlineLevel="1"/>
    <col min="38" max="38" width="9.109375" hidden="1" customWidth="1" outlineLevel="1"/>
    <col min="39" max="39" width="14.33203125" hidden="1" customWidth="1" outlineLevel="1"/>
    <col min="40" max="40" width="14.33203125" hidden="1" customWidth="1" collapsed="1"/>
    <col min="41" max="42" width="9.109375" hidden="1" customWidth="1"/>
    <col min="43" max="43" width="9.109375" customWidth="1"/>
    <col min="44" max="44" width="26" customWidth="1"/>
    <col min="46" max="46" width="9.44140625" customWidth="1"/>
    <col min="47" max="47" width="22" customWidth="1"/>
    <col min="50" max="50" width="14.33203125" customWidth="1"/>
    <col min="51" max="51" width="13.33203125" customWidth="1"/>
    <col min="52" max="52" width="13.5546875" bestFit="1" customWidth="1"/>
  </cols>
  <sheetData>
    <row r="1" spans="1:53" x14ac:dyDescent="0.3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</row>
    <row r="2" spans="1:53" ht="15" thickBot="1" x14ac:dyDescent="0.35">
      <c r="A2" s="33"/>
      <c r="B2" s="33" t="s">
        <v>0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</row>
    <row r="3" spans="1:53" ht="15" thickBot="1" x14ac:dyDescent="0.35">
      <c r="A3" s="44" t="s">
        <v>56</v>
      </c>
      <c r="B3" s="43">
        <v>0</v>
      </c>
      <c r="C3" s="29"/>
      <c r="D3" s="29" t="s">
        <v>121</v>
      </c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97" t="s">
        <v>114</v>
      </c>
      <c r="AS3" s="97"/>
      <c r="AT3" s="97"/>
      <c r="AU3" s="97"/>
      <c r="AV3" s="29"/>
      <c r="AW3" s="29"/>
      <c r="AX3" s="29"/>
      <c r="AY3" s="29"/>
    </row>
    <row r="4" spans="1:53" ht="17.25" customHeight="1" thickBot="1" x14ac:dyDescent="0.35">
      <c r="A4" s="41" t="s">
        <v>1</v>
      </c>
      <c r="B4" s="42">
        <v>0</v>
      </c>
      <c r="C4" s="29"/>
      <c r="D4" s="29" t="s">
        <v>122</v>
      </c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8"/>
      <c r="AS4" s="28" t="s">
        <v>34</v>
      </c>
      <c r="AT4" s="28" t="s">
        <v>35</v>
      </c>
      <c r="AU4" s="28" t="s">
        <v>103</v>
      </c>
      <c r="AV4" s="29"/>
      <c r="AW4" s="29"/>
      <c r="AX4" s="29"/>
      <c r="AY4" s="29"/>
    </row>
    <row r="5" spans="1:53" ht="15" customHeight="1" x14ac:dyDescent="0.3">
      <c r="A5" s="28" t="s">
        <v>2</v>
      </c>
      <c r="B5" s="86">
        <v>2026</v>
      </c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80" t="s">
        <v>115</v>
      </c>
      <c r="AS5" s="84">
        <v>0</v>
      </c>
      <c r="AT5" s="84">
        <v>0</v>
      </c>
      <c r="AU5" s="78" t="str">
        <f>IF(
$AT5-$AS5&gt;=0,
TEXT($AT5-$AS5,"[tt]:mm"),
"-"&amp;TEXT(ABS($AT5-$AS5),"[tt]:mm"))</f>
        <v>00:00</v>
      </c>
      <c r="AV5" s="23"/>
      <c r="AW5" s="23"/>
      <c r="AX5" s="23"/>
      <c r="AY5" s="29"/>
    </row>
    <row r="6" spans="1:53" x14ac:dyDescent="0.3">
      <c r="A6" s="28" t="s">
        <v>54</v>
      </c>
      <c r="B6" s="27"/>
      <c r="C6" s="32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L6" s="29"/>
      <c r="AM6" s="29"/>
      <c r="AN6" s="29"/>
      <c r="AO6" s="29"/>
      <c r="AP6" s="29"/>
      <c r="AQ6" s="29"/>
      <c r="AR6" s="80" t="s">
        <v>116</v>
      </c>
      <c r="AS6" s="84">
        <v>0</v>
      </c>
      <c r="AT6" s="84">
        <v>0</v>
      </c>
      <c r="AU6" s="78" t="str">
        <f>IF(
$AT6-$AS6&gt;=0,
TEXT($AT6-$AS6,"[tt]:mm"),
"-"&amp;TEXT(ABS($AT6-$AS6),"[tt]:mm"))</f>
        <v>00:00</v>
      </c>
      <c r="AV6" s="25"/>
      <c r="AW6" s="52"/>
      <c r="AX6" s="53"/>
      <c r="AY6" s="30"/>
    </row>
    <row r="7" spans="1:53" x14ac:dyDescent="0.3">
      <c r="A7" s="28" t="s">
        <v>55</v>
      </c>
      <c r="B7" s="27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96" t="s">
        <v>64</v>
      </c>
      <c r="AJ7" s="96"/>
      <c r="AK7" s="96"/>
      <c r="AL7" s="96"/>
      <c r="AM7" s="96"/>
      <c r="AN7" s="96"/>
      <c r="AO7" s="29"/>
      <c r="AP7" s="29"/>
      <c r="AQ7" s="29"/>
      <c r="AR7" s="81" t="s">
        <v>117</v>
      </c>
      <c r="AS7" s="84">
        <v>0</v>
      </c>
      <c r="AT7" s="84">
        <v>0</v>
      </c>
      <c r="AU7" s="78" t="str">
        <f>IF(
$AT7-$AS7&gt;=0,
TEXT($AT7-$AS7,"[tt]:mm"),
"-"&amp;TEXT(ABS($AT7-$AS7),"[tt]:mm"))</f>
        <v>00:00</v>
      </c>
      <c r="AV7" s="25"/>
      <c r="AW7" s="52"/>
      <c r="AX7" s="53"/>
      <c r="AY7" s="30"/>
    </row>
    <row r="8" spans="1:53" ht="19.5" customHeight="1" x14ac:dyDescent="0.3">
      <c r="A8" s="37" t="s">
        <v>61</v>
      </c>
      <c r="B8" s="51" t="s">
        <v>139</v>
      </c>
      <c r="C8" s="29"/>
      <c r="D8" s="29" t="s">
        <v>123</v>
      </c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 cm="1">
        <f t="array" aca="1" ref="AI8" ca="1">MIN(IF(ISNUMBER(VALUE(MID(B8,ROW(INDIRECT("2:"&amp;LEN(B8))),1))),999,ROW(INDIRECT("2:"&amp;LEN(B8)))))</f>
        <v>3</v>
      </c>
      <c r="AJ8" s="29" t="b">
        <f>IF(LEFT(B8,1)="-",TRUE,FALSE)</f>
        <v>0</v>
      </c>
      <c r="AK8" s="29">
        <f ca="1">VALUE(LEFT(B8,AI8-1))</f>
        <v>0</v>
      </c>
      <c r="AL8" s="29">
        <f ca="1">VALUE(RIGHT(B8,LEN(B8)-AI8))</f>
        <v>0</v>
      </c>
      <c r="AM8" s="29">
        <f ca="1">AL8/60</f>
        <v>0</v>
      </c>
      <c r="AN8" s="30">
        <f ca="1">IF(AJ8,AK8-AM8,AK8+AM8)</f>
        <v>0</v>
      </c>
      <c r="AO8" s="29"/>
      <c r="AP8" s="29"/>
      <c r="AQ8" s="29"/>
      <c r="AR8" s="79"/>
      <c r="AS8" s="79"/>
      <c r="AT8" s="83" t="s">
        <v>118</v>
      </c>
      <c r="AU8" s="82">
        <f>AU5+AU6+AU7</f>
        <v>0</v>
      </c>
      <c r="AV8" s="25"/>
      <c r="AW8" s="52"/>
      <c r="AX8" s="53"/>
      <c r="AY8" s="30"/>
    </row>
    <row r="9" spans="1:53" x14ac:dyDescent="0.3">
      <c r="A9" s="29"/>
      <c r="B9" s="29"/>
      <c r="C9" s="29"/>
      <c r="D9" s="30"/>
      <c r="E9" s="30"/>
      <c r="F9" s="29"/>
      <c r="G9" s="29"/>
      <c r="H9" s="29"/>
      <c r="I9" s="29"/>
      <c r="J9" s="29"/>
      <c r="K9" s="29" t="s">
        <v>3</v>
      </c>
      <c r="L9" s="29" t="s">
        <v>2</v>
      </c>
      <c r="M9" s="29" t="s">
        <v>4</v>
      </c>
      <c r="N9" s="29" t="s">
        <v>5</v>
      </c>
      <c r="O9" s="29" t="s">
        <v>7</v>
      </c>
      <c r="P9" s="29" t="s">
        <v>8</v>
      </c>
      <c r="Q9" s="29" t="s">
        <v>9</v>
      </c>
      <c r="R9" s="29" t="s">
        <v>10</v>
      </c>
      <c r="S9" s="29" t="s">
        <v>11</v>
      </c>
      <c r="T9" s="29" t="s">
        <v>12</v>
      </c>
      <c r="U9" s="29" t="s">
        <v>13</v>
      </c>
      <c r="V9" s="29" t="s">
        <v>14</v>
      </c>
      <c r="W9" s="29" t="s">
        <v>15</v>
      </c>
      <c r="X9" s="29" t="s">
        <v>16</v>
      </c>
      <c r="Y9" s="29" t="s">
        <v>17</v>
      </c>
      <c r="Z9" s="29" t="s">
        <v>18</v>
      </c>
      <c r="AA9" s="29" t="s">
        <v>19</v>
      </c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30"/>
      <c r="BA9" s="2"/>
    </row>
    <row r="10" spans="1:53" x14ac:dyDescent="0.3">
      <c r="A10" s="29"/>
      <c r="B10" s="54"/>
      <c r="C10" s="29"/>
      <c r="D10" s="29"/>
      <c r="E10" s="29"/>
      <c r="F10" s="29"/>
      <c r="G10" s="29"/>
      <c r="H10" s="29"/>
      <c r="I10" s="29"/>
      <c r="J10" s="29"/>
      <c r="K10" s="29">
        <f t="shared" ref="K10" si="0">$B$6</f>
        <v>0</v>
      </c>
      <c r="L10" s="29">
        <f t="shared" ref="L10" si="1">$B$5</f>
        <v>2026</v>
      </c>
      <c r="M10" s="29">
        <f t="shared" ref="M10" si="2">$B$7</f>
        <v>0</v>
      </c>
      <c r="N10" s="30" t="str">
        <f>$B$8</f>
        <v>00:00</v>
      </c>
      <c r="O10" s="30" t="e">
        <f>#REF!</f>
        <v>#REF!</v>
      </c>
      <c r="P10" s="30" t="e">
        <f>#REF!</f>
        <v>#REF!</v>
      </c>
      <c r="Q10" s="30" t="e">
        <f>#REF!</f>
        <v>#REF!</v>
      </c>
      <c r="R10" s="30" t="e">
        <f>#REF!</f>
        <v>#REF!</v>
      </c>
      <c r="S10" s="30" t="e">
        <f>#REF!</f>
        <v>#REF!</v>
      </c>
      <c r="T10" s="30" t="e">
        <f>#REF!</f>
        <v>#REF!</v>
      </c>
      <c r="U10" s="30" t="e">
        <f>#REF!</f>
        <v>#REF!</v>
      </c>
      <c r="V10" s="30">
        <f>$C$21</f>
        <v>0</v>
      </c>
      <c r="W10" s="30">
        <f>$C$22</f>
        <v>0</v>
      </c>
      <c r="X10" s="30">
        <f>$C$23</f>
        <v>0</v>
      </c>
      <c r="Y10" s="30">
        <f>$C$24</f>
        <v>0</v>
      </c>
      <c r="Z10" s="30">
        <f>$C$25</f>
        <v>0</v>
      </c>
      <c r="AA10" s="30">
        <f>$C$26</f>
        <v>0</v>
      </c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73"/>
      <c r="AT10" s="29"/>
      <c r="AU10" s="29"/>
      <c r="AV10" s="29"/>
      <c r="AW10" s="29"/>
      <c r="AX10" s="29"/>
      <c r="AY10" s="29"/>
    </row>
    <row r="11" spans="1:53" x14ac:dyDescent="0.3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29"/>
      <c r="AC11" s="29"/>
      <c r="AD11" s="29"/>
      <c r="AE11" s="29"/>
      <c r="AF11" s="29"/>
      <c r="AG11" s="29"/>
      <c r="AH11" s="29"/>
      <c r="AI11" s="29"/>
      <c r="AJ11" s="96" t="s">
        <v>104</v>
      </c>
      <c r="AK11" s="96"/>
      <c r="AL11" s="96"/>
      <c r="AM11" s="96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</row>
    <row r="12" spans="1:53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29"/>
      <c r="AC12" s="29"/>
      <c r="AD12" s="29"/>
      <c r="AE12" s="29"/>
      <c r="AF12" s="29"/>
      <c r="AG12" s="29"/>
      <c r="AH12" s="29"/>
      <c r="AI12" s="29"/>
      <c r="AJ12" s="75" t="s">
        <v>75</v>
      </c>
      <c r="AK12" s="75" t="s">
        <v>76</v>
      </c>
      <c r="AL12" s="76">
        <f>B5</f>
        <v>2026</v>
      </c>
      <c r="AM12" s="75"/>
      <c r="AN12" s="75"/>
      <c r="AO12" s="75"/>
      <c r="AP12" s="75"/>
      <c r="AQ12" s="29"/>
      <c r="AR12" s="29"/>
      <c r="AS12" s="29"/>
      <c r="AT12" s="29"/>
      <c r="AU12" s="29"/>
      <c r="AV12" s="29"/>
      <c r="AW12" s="29"/>
      <c r="AX12" s="29"/>
      <c r="AY12" s="29"/>
    </row>
    <row r="13" spans="1:53" x14ac:dyDescent="0.3">
      <c r="A13" s="28" t="s">
        <v>20</v>
      </c>
      <c r="B13" s="28" t="s">
        <v>102</v>
      </c>
      <c r="C13" s="28" t="s">
        <v>57</v>
      </c>
      <c r="D13" s="28" t="s">
        <v>6</v>
      </c>
      <c r="E13" s="29"/>
      <c r="F13" s="29"/>
      <c r="G13" s="29"/>
      <c r="H13" s="29"/>
      <c r="I13" s="29"/>
      <c r="J13" s="29"/>
      <c r="K13" s="29"/>
      <c r="L13" s="29"/>
      <c r="M13" s="29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29"/>
      <c r="AC13" s="29"/>
      <c r="AD13" s="29"/>
      <c r="AE13" s="29"/>
      <c r="AF13" s="29"/>
      <c r="AG13" s="29"/>
      <c r="AH13" s="29"/>
      <c r="AI13" s="29"/>
      <c r="AJ13" s="75" t="s">
        <v>77</v>
      </c>
      <c r="AK13" s="75" t="s">
        <v>78</v>
      </c>
      <c r="AL13" s="75">
        <f>MOD(AL12,19)</f>
        <v>12</v>
      </c>
      <c r="AM13" s="75">
        <f>År</f>
        <v>0</v>
      </c>
      <c r="AN13" s="75"/>
      <c r="AO13" s="75"/>
      <c r="AP13" s="75"/>
      <c r="AR13" s="29"/>
      <c r="AS13" s="29"/>
      <c r="AT13" s="29"/>
      <c r="AU13" s="29"/>
      <c r="AV13" s="29"/>
      <c r="AW13" s="29"/>
      <c r="AX13" s="29"/>
      <c r="AY13" s="29"/>
    </row>
    <row r="14" spans="1:53" x14ac:dyDescent="0.3">
      <c r="A14" s="49" t="s">
        <v>62</v>
      </c>
      <c r="B14" s="55" t="s">
        <v>58</v>
      </c>
      <c r="C14" s="56">
        <f ca="1">AN8</f>
        <v>0</v>
      </c>
      <c r="D14" s="57" t="str">
        <f ca="1">IF(C14&lt;0,"-"&amp;TEXT(ABS(C14/24),"[TT]:mm"),TEXT(C14/24,"[TT]:mm"))</f>
        <v>00:00</v>
      </c>
      <c r="E14" s="58"/>
      <c r="F14" s="58"/>
      <c r="G14" s="29"/>
      <c r="H14" s="29"/>
      <c r="I14" s="29"/>
      <c r="J14" s="29"/>
      <c r="K14" s="29"/>
      <c r="L14" s="29"/>
      <c r="M14" s="29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29"/>
      <c r="AC14" s="29"/>
      <c r="AD14" s="29"/>
      <c r="AE14" s="29"/>
      <c r="AF14" s="29"/>
      <c r="AG14" s="29"/>
      <c r="AH14" s="29"/>
      <c r="AI14" s="29"/>
      <c r="AJ14" s="75"/>
      <c r="AK14" s="75"/>
      <c r="AL14" s="75"/>
      <c r="AM14" s="75"/>
      <c r="AN14" s="75"/>
      <c r="AO14" s="75"/>
      <c r="AP14" s="75"/>
      <c r="AR14" s="29"/>
      <c r="AS14" s="29"/>
      <c r="AT14" s="29"/>
      <c r="AU14" s="29"/>
      <c r="AV14" s="29"/>
      <c r="AW14" s="29"/>
      <c r="AX14" s="29"/>
      <c r="AY14" s="29"/>
    </row>
    <row r="15" spans="1:53" x14ac:dyDescent="0.3">
      <c r="A15" s="50">
        <f>Januar!$B$6</f>
        <v>46023</v>
      </c>
      <c r="B15" s="60">
        <f>Januar!$B$1</f>
        <v>37</v>
      </c>
      <c r="C15" s="61">
        <f>Januar!$R$40</f>
        <v>0</v>
      </c>
      <c r="D15" s="57" t="str">
        <f t="shared" ref="D15:D26" si="3">IF(C15&lt;0,"-"&amp;TEXT(ABS(C15/24),"[TT]:mm"),TEXT(C15/24,"[TT]:mm"))</f>
        <v>00:00</v>
      </c>
      <c r="E15" s="58"/>
      <c r="F15" s="58"/>
      <c r="G15" s="29"/>
      <c r="H15" s="29"/>
      <c r="I15" s="29"/>
      <c r="J15" s="29"/>
      <c r="K15" s="29"/>
      <c r="L15" s="29"/>
      <c r="M15" s="29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29"/>
      <c r="AC15" s="29"/>
      <c r="AD15" s="29"/>
      <c r="AE15" s="29"/>
      <c r="AF15" s="29"/>
      <c r="AG15" s="29"/>
      <c r="AH15" s="29"/>
      <c r="AI15" s="29"/>
      <c r="AJ15" s="75" t="s">
        <v>79</v>
      </c>
      <c r="AK15" s="75" t="s">
        <v>80</v>
      </c>
      <c r="AL15" s="75">
        <f>INT(AL12/100)</f>
        <v>20</v>
      </c>
      <c r="AM15" s="75"/>
      <c r="AN15" s="75"/>
      <c r="AO15" s="75"/>
      <c r="AP15" s="75"/>
      <c r="AR15" s="29"/>
      <c r="AS15" s="29"/>
      <c r="AT15" s="29"/>
      <c r="AU15" s="29"/>
      <c r="AV15" s="29"/>
      <c r="AW15" s="29"/>
      <c r="AX15" s="29"/>
      <c r="AY15" s="29"/>
    </row>
    <row r="16" spans="1:53" x14ac:dyDescent="0.3">
      <c r="A16" s="50">
        <f>Februar!$B$6</f>
        <v>46054</v>
      </c>
      <c r="B16" s="60">
        <f>Februar!B1</f>
        <v>37</v>
      </c>
      <c r="C16" s="61">
        <f>Februar!$R$38</f>
        <v>0</v>
      </c>
      <c r="D16" s="57" t="str">
        <f t="shared" si="3"/>
        <v>00:00</v>
      </c>
      <c r="E16" s="58"/>
      <c r="F16" s="58"/>
      <c r="G16" s="29"/>
      <c r="H16" s="29"/>
      <c r="I16" s="29"/>
      <c r="J16" s="29"/>
      <c r="K16" s="29"/>
      <c r="L16" s="29"/>
      <c r="M16" s="29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29"/>
      <c r="AC16" s="29"/>
      <c r="AD16" s="29"/>
      <c r="AE16" s="29"/>
      <c r="AF16" s="29"/>
      <c r="AG16" s="29"/>
      <c r="AH16" s="29"/>
      <c r="AI16" s="29"/>
      <c r="AJ16" s="75" t="s">
        <v>81</v>
      </c>
      <c r="AK16" s="75" t="s">
        <v>78</v>
      </c>
      <c r="AL16" s="75">
        <f>MOD(AL12,100)</f>
        <v>26</v>
      </c>
      <c r="AM16" s="75"/>
      <c r="AN16" s="75"/>
      <c r="AO16" s="75"/>
      <c r="AP16" s="75"/>
      <c r="AR16" s="29"/>
      <c r="AS16" s="29"/>
      <c r="AT16" s="29"/>
      <c r="AU16" s="29"/>
      <c r="AV16" s="29"/>
      <c r="AW16" s="29"/>
      <c r="AX16" s="29"/>
      <c r="AY16" s="29"/>
    </row>
    <row r="17" spans="1:51" x14ac:dyDescent="0.3">
      <c r="A17" s="50">
        <f>Marts!$B$6</f>
        <v>46082</v>
      </c>
      <c r="B17" s="60">
        <f>Marts!B1</f>
        <v>37</v>
      </c>
      <c r="C17" s="61">
        <f>Marts!$R$40</f>
        <v>0</v>
      </c>
      <c r="D17" s="57" t="str">
        <f t="shared" si="3"/>
        <v>00:00</v>
      </c>
      <c r="E17" s="58"/>
      <c r="F17" s="58"/>
      <c r="G17" s="29"/>
      <c r="H17" s="29"/>
      <c r="I17" s="29"/>
      <c r="J17" s="29"/>
      <c r="K17" s="29"/>
      <c r="L17" s="29"/>
      <c r="M17" s="29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29"/>
      <c r="AC17" s="29"/>
      <c r="AD17" s="29"/>
      <c r="AE17" s="29"/>
      <c r="AF17" s="29"/>
      <c r="AG17" s="29"/>
      <c r="AH17" s="29"/>
      <c r="AI17" s="29"/>
      <c r="AJ17" s="75" t="s">
        <v>82</v>
      </c>
      <c r="AK17" s="75" t="s">
        <v>80</v>
      </c>
      <c r="AL17" s="75">
        <f>INT(AL15/4)</f>
        <v>5</v>
      </c>
      <c r="AM17" s="75"/>
      <c r="AN17" s="75"/>
      <c r="AO17" s="75"/>
      <c r="AP17" s="75"/>
      <c r="AR17" s="29"/>
      <c r="AS17" s="29"/>
      <c r="AT17" s="29"/>
      <c r="AU17" s="29"/>
      <c r="AV17" s="29"/>
      <c r="AW17" s="29"/>
      <c r="AX17" s="29"/>
      <c r="AY17" s="29"/>
    </row>
    <row r="18" spans="1:51" x14ac:dyDescent="0.3">
      <c r="A18" s="50">
        <f>April!$B$6</f>
        <v>46113</v>
      </c>
      <c r="B18" s="60">
        <f>April!B1</f>
        <v>37</v>
      </c>
      <c r="C18" s="61">
        <f>April!$R$39</f>
        <v>0</v>
      </c>
      <c r="D18" s="57" t="str">
        <f t="shared" si="3"/>
        <v>00:00</v>
      </c>
      <c r="E18" s="58"/>
      <c r="F18" s="58"/>
      <c r="G18" s="29"/>
      <c r="H18" s="29"/>
      <c r="I18" s="29"/>
      <c r="J18" s="29"/>
      <c r="K18" s="29"/>
      <c r="L18" s="29"/>
      <c r="M18" s="29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29"/>
      <c r="AC18" s="29"/>
      <c r="AD18" s="29"/>
      <c r="AE18" s="29"/>
      <c r="AF18" s="29"/>
      <c r="AG18" s="29"/>
      <c r="AH18" s="29"/>
      <c r="AI18" s="29"/>
      <c r="AJ18" s="75" t="s">
        <v>83</v>
      </c>
      <c r="AK18" s="75" t="s">
        <v>78</v>
      </c>
      <c r="AL18" s="75">
        <f>MOD(AL15,4)</f>
        <v>0</v>
      </c>
      <c r="AM18" s="75"/>
      <c r="AN18" s="75"/>
      <c r="AO18" s="75"/>
      <c r="AP18" s="75"/>
      <c r="AR18" s="29"/>
      <c r="AS18" s="29"/>
      <c r="AT18" s="29"/>
      <c r="AU18" s="29"/>
      <c r="AV18" s="29"/>
      <c r="AW18" s="29"/>
      <c r="AX18" s="29"/>
      <c r="AY18" s="29"/>
    </row>
    <row r="19" spans="1:51" x14ac:dyDescent="0.3">
      <c r="A19" s="50">
        <f>Maj!$B$6</f>
        <v>46143</v>
      </c>
      <c r="B19" s="60">
        <f>Maj!B1</f>
        <v>37</v>
      </c>
      <c r="C19" s="61">
        <f>Maj!$R$40</f>
        <v>0</v>
      </c>
      <c r="D19" s="57" t="str">
        <f t="shared" si="3"/>
        <v>00:00</v>
      </c>
      <c r="E19" s="58"/>
      <c r="F19" s="58"/>
      <c r="G19" s="29"/>
      <c r="H19" s="29"/>
      <c r="I19" s="29"/>
      <c r="J19" s="29"/>
      <c r="K19" s="29"/>
      <c r="L19" s="29"/>
      <c r="M19" s="29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29"/>
      <c r="AC19" s="29"/>
      <c r="AD19" s="29"/>
      <c r="AE19" s="29"/>
      <c r="AF19" s="29"/>
      <c r="AG19" s="29"/>
      <c r="AH19" s="29"/>
      <c r="AI19" s="29"/>
      <c r="AJ19" s="75"/>
      <c r="AK19" s="75"/>
      <c r="AL19" s="75"/>
      <c r="AM19" s="75"/>
      <c r="AN19" s="75"/>
      <c r="AO19" s="75"/>
      <c r="AP19" s="75"/>
      <c r="AR19" s="97" t="s">
        <v>133</v>
      </c>
      <c r="AS19" s="97"/>
      <c r="AT19" s="97"/>
      <c r="AU19" s="97"/>
      <c r="AV19" s="29"/>
      <c r="AW19" s="29"/>
      <c r="AX19" s="29"/>
      <c r="AY19" s="29"/>
    </row>
    <row r="20" spans="1:51" x14ac:dyDescent="0.3">
      <c r="A20" s="50">
        <f>Juni!$B$6</f>
        <v>46174</v>
      </c>
      <c r="B20" s="60">
        <f>Juni!B1</f>
        <v>37</v>
      </c>
      <c r="C20" s="61">
        <f>Juni!$R$39</f>
        <v>0</v>
      </c>
      <c r="D20" s="57" t="str">
        <f t="shared" si="3"/>
        <v>00:00</v>
      </c>
      <c r="E20" s="58"/>
      <c r="F20" s="58"/>
      <c r="G20" s="29"/>
      <c r="H20" s="29"/>
      <c r="I20" s="29"/>
      <c r="J20" s="29"/>
      <c r="K20" s="29"/>
      <c r="L20" s="29"/>
      <c r="M20" s="29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29"/>
      <c r="AC20" s="29"/>
      <c r="AD20" s="29"/>
      <c r="AE20" s="29"/>
      <c r="AF20" s="29"/>
      <c r="AG20" s="29"/>
      <c r="AH20" s="29"/>
      <c r="AI20" s="29"/>
      <c r="AJ20" s="75" t="s">
        <v>49</v>
      </c>
      <c r="AK20" s="75" t="s">
        <v>80</v>
      </c>
      <c r="AL20" s="75">
        <f>INT((AL15+8)/25)</f>
        <v>1</v>
      </c>
      <c r="AM20" s="75"/>
      <c r="AN20" s="75"/>
      <c r="AO20" s="75"/>
      <c r="AP20" s="75"/>
      <c r="AR20" s="93" t="s">
        <v>137</v>
      </c>
      <c r="AS20" s="92">
        <v>0</v>
      </c>
      <c r="AT20" s="29" t="s">
        <v>123</v>
      </c>
      <c r="AU20" s="45"/>
      <c r="AV20" s="29"/>
      <c r="AW20" s="29"/>
      <c r="AX20" s="29"/>
      <c r="AY20" s="29"/>
    </row>
    <row r="21" spans="1:51" x14ac:dyDescent="0.3">
      <c r="A21" s="50">
        <f>Juli!$B$6</f>
        <v>46204</v>
      </c>
      <c r="B21" s="60">
        <f>Juli!B1</f>
        <v>37</v>
      </c>
      <c r="C21" s="61">
        <f>Juli!$R$40</f>
        <v>0</v>
      </c>
      <c r="D21" s="57" t="str">
        <f t="shared" si="3"/>
        <v>00:00</v>
      </c>
      <c r="E21" s="58"/>
      <c r="F21" s="58"/>
      <c r="G21" s="29"/>
      <c r="H21" s="29"/>
      <c r="I21" s="29"/>
      <c r="J21" s="29"/>
      <c r="K21" s="29"/>
      <c r="L21" s="29"/>
      <c r="M21" s="29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29"/>
      <c r="AC21" s="29"/>
      <c r="AD21" s="29"/>
      <c r="AE21" s="29"/>
      <c r="AF21" s="29"/>
      <c r="AG21" s="29"/>
      <c r="AH21" s="29"/>
      <c r="AI21" s="29"/>
      <c r="AJ21" s="75" t="s">
        <v>84</v>
      </c>
      <c r="AK21" s="75" t="s">
        <v>80</v>
      </c>
      <c r="AL21" s="75">
        <f>INT((AL15-AL20+1)/3)</f>
        <v>6</v>
      </c>
      <c r="AM21" s="75"/>
      <c r="AN21" s="75"/>
      <c r="AO21" s="75"/>
      <c r="AP21" s="75"/>
      <c r="AR21" s="93" t="s">
        <v>132</v>
      </c>
      <c r="AS21" s="78" t="str">
        <f>IF($AS$20=0,TEXT(0,"[tt]:mm"),TEXT($D$27-$AS$20,"[tt]:mm"))</f>
        <v>00:00</v>
      </c>
      <c r="AT21" s="29"/>
      <c r="AU21" s="29"/>
      <c r="AV21" s="29"/>
      <c r="AW21" s="29"/>
      <c r="AX21" s="29"/>
      <c r="AY21" s="29"/>
    </row>
    <row r="22" spans="1:51" x14ac:dyDescent="0.3">
      <c r="A22" s="50">
        <f>August!$B$6</f>
        <v>46235</v>
      </c>
      <c r="B22" s="60">
        <f>August!B1</f>
        <v>37</v>
      </c>
      <c r="C22" s="61">
        <f>August!$R$40</f>
        <v>0</v>
      </c>
      <c r="D22" s="57" t="str">
        <f t="shared" si="3"/>
        <v>00:00</v>
      </c>
      <c r="E22" s="58"/>
      <c r="F22" s="58"/>
      <c r="G22" s="29"/>
      <c r="H22" s="29"/>
      <c r="I22" s="29"/>
      <c r="J22" s="29"/>
      <c r="K22" s="29"/>
      <c r="L22" s="29"/>
      <c r="M22" s="29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29"/>
      <c r="AC22" s="29"/>
      <c r="AD22" s="29"/>
      <c r="AE22" s="29"/>
      <c r="AF22" s="29"/>
      <c r="AG22" s="29"/>
      <c r="AH22" s="29"/>
      <c r="AI22" s="29"/>
      <c r="AJ22" s="75" t="s">
        <v>85</v>
      </c>
      <c r="AK22" s="75" t="s">
        <v>80</v>
      </c>
      <c r="AL22" s="75">
        <f>MOD(19*AL13+AL15-AL17-AL21+15,30)</f>
        <v>12</v>
      </c>
      <c r="AM22" s="75"/>
      <c r="AN22" s="75"/>
      <c r="AO22" s="75"/>
      <c r="AP22" s="75"/>
      <c r="AR22" s="29"/>
      <c r="AS22" s="29"/>
      <c r="AT22" s="29"/>
      <c r="AU22" s="29"/>
      <c r="AV22" s="29"/>
      <c r="AW22" s="29"/>
      <c r="AX22" s="29"/>
      <c r="AY22" s="29"/>
    </row>
    <row r="23" spans="1:51" x14ac:dyDescent="0.3">
      <c r="A23" s="50">
        <f>September!$B$6</f>
        <v>46266</v>
      </c>
      <c r="B23" s="60">
        <f>September!B1</f>
        <v>37</v>
      </c>
      <c r="C23" s="61">
        <f>September!$R$39</f>
        <v>0</v>
      </c>
      <c r="D23" s="57" t="str">
        <f t="shared" si="3"/>
        <v>00:00</v>
      </c>
      <c r="E23" s="58"/>
      <c r="F23" s="58"/>
      <c r="G23" s="29"/>
      <c r="H23" s="29"/>
      <c r="I23" s="29"/>
      <c r="J23" s="29"/>
      <c r="K23" s="29"/>
      <c r="L23" s="29"/>
      <c r="M23" s="29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29"/>
      <c r="AC23" s="29"/>
      <c r="AD23" s="29"/>
      <c r="AE23" s="29"/>
      <c r="AF23" s="29"/>
      <c r="AG23" s="29"/>
      <c r="AH23" s="29"/>
      <c r="AI23" s="29"/>
      <c r="AJ23" s="75" t="s">
        <v>86</v>
      </c>
      <c r="AK23" s="75" t="s">
        <v>80</v>
      </c>
      <c r="AL23" s="75">
        <f>INT(AL16/4)</f>
        <v>6</v>
      </c>
      <c r="AM23" s="75"/>
      <c r="AN23" s="75"/>
      <c r="AO23" s="75"/>
      <c r="AP23" s="75"/>
      <c r="AR23" s="95" t="s">
        <v>134</v>
      </c>
      <c r="AS23" s="29"/>
      <c r="AT23" s="29"/>
      <c r="AU23" s="29"/>
      <c r="AV23" s="29"/>
      <c r="AW23" s="29"/>
      <c r="AX23" s="29"/>
      <c r="AY23" s="29"/>
    </row>
    <row r="24" spans="1:51" x14ac:dyDescent="0.3">
      <c r="A24" s="50">
        <f>Oktober!$B$6</f>
        <v>46296</v>
      </c>
      <c r="B24" s="60">
        <f>Oktober!B1</f>
        <v>37</v>
      </c>
      <c r="C24" s="61">
        <f>Oktober!$R$40</f>
        <v>0</v>
      </c>
      <c r="D24" s="57" t="str">
        <f t="shared" si="3"/>
        <v>00:00</v>
      </c>
      <c r="E24" s="58"/>
      <c r="F24" s="58"/>
      <c r="G24" s="29"/>
      <c r="H24" s="29"/>
      <c r="I24" s="29"/>
      <c r="J24" s="29"/>
      <c r="K24" s="29"/>
      <c r="L24" s="29"/>
      <c r="M24" s="29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29"/>
      <c r="AC24" s="29"/>
      <c r="AD24" s="29"/>
      <c r="AE24" s="29"/>
      <c r="AF24" s="29"/>
      <c r="AG24" s="29"/>
      <c r="AH24" s="29"/>
      <c r="AI24" s="29"/>
      <c r="AJ24" s="75" t="s">
        <v>87</v>
      </c>
      <c r="AK24" s="75" t="s">
        <v>78</v>
      </c>
      <c r="AL24" s="75">
        <f>MOD(AL16,4)</f>
        <v>2</v>
      </c>
      <c r="AM24" s="75"/>
      <c r="AN24" s="75"/>
      <c r="AO24" s="75"/>
      <c r="AP24" s="75"/>
      <c r="AR24" s="94" t="s">
        <v>138</v>
      </c>
      <c r="AS24" s="29"/>
      <c r="AT24" s="29"/>
      <c r="AU24" s="29"/>
      <c r="AV24" s="29"/>
      <c r="AW24" s="29"/>
      <c r="AX24" s="29"/>
      <c r="AY24" s="29"/>
    </row>
    <row r="25" spans="1:51" x14ac:dyDescent="0.3">
      <c r="A25" s="50">
        <f>November!$B$6</f>
        <v>46327</v>
      </c>
      <c r="B25" s="60">
        <f>November!B1</f>
        <v>37</v>
      </c>
      <c r="C25" s="61">
        <f>November!$R$39</f>
        <v>0</v>
      </c>
      <c r="D25" s="57" t="str">
        <f t="shared" si="3"/>
        <v>00:00</v>
      </c>
      <c r="E25" s="58"/>
      <c r="F25" s="58"/>
      <c r="G25" s="29"/>
      <c r="H25" s="29"/>
      <c r="I25" s="29"/>
      <c r="J25" s="29"/>
      <c r="K25" s="29"/>
      <c r="L25" s="29"/>
      <c r="M25" s="29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29"/>
      <c r="AC25" s="29"/>
      <c r="AD25" s="29"/>
      <c r="AE25" s="29"/>
      <c r="AF25" s="29"/>
      <c r="AG25" s="29"/>
      <c r="AH25" s="29"/>
      <c r="AI25" s="29"/>
      <c r="AJ25" s="75" t="s">
        <v>88</v>
      </c>
      <c r="AK25" s="75" t="s">
        <v>78</v>
      </c>
      <c r="AL25" s="75">
        <f>MOD(32+2*AL18+2*AL23-AL22-AL24,7)</f>
        <v>2</v>
      </c>
      <c r="AM25" s="75"/>
      <c r="AN25" s="75"/>
      <c r="AO25" s="75"/>
      <c r="AP25" s="75"/>
      <c r="AR25" s="94" t="s">
        <v>135</v>
      </c>
      <c r="AS25" s="29"/>
      <c r="AT25" s="29"/>
      <c r="AU25" s="29"/>
      <c r="AX25" s="29"/>
      <c r="AY25" s="29"/>
    </row>
    <row r="26" spans="1:51" x14ac:dyDescent="0.3">
      <c r="A26" s="50">
        <f>December!$B$6</f>
        <v>46357</v>
      </c>
      <c r="B26" s="60">
        <f>December!B1</f>
        <v>37</v>
      </c>
      <c r="C26" s="61">
        <f>December!$R$40</f>
        <v>0</v>
      </c>
      <c r="D26" s="57" t="str">
        <f t="shared" si="3"/>
        <v>00:00</v>
      </c>
      <c r="E26" s="58"/>
      <c r="F26" s="58"/>
      <c r="G26" s="29"/>
      <c r="H26" s="29"/>
      <c r="I26" s="29"/>
      <c r="J26" s="29"/>
      <c r="K26" s="29"/>
      <c r="L26" s="29"/>
      <c r="M26" s="29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29"/>
      <c r="AC26" s="29"/>
      <c r="AD26" s="29"/>
      <c r="AE26" s="29"/>
      <c r="AF26" s="29"/>
      <c r="AG26" s="29"/>
      <c r="AH26" s="29"/>
      <c r="AI26" s="29"/>
      <c r="AJ26" s="75" t="s">
        <v>89</v>
      </c>
      <c r="AK26" s="75" t="s">
        <v>80</v>
      </c>
      <c r="AL26" s="75">
        <f>INT((AL13+11*AL22+22*AL25)/451)</f>
        <v>0</v>
      </c>
      <c r="AM26" s="75"/>
      <c r="AN26" s="75"/>
      <c r="AO26" s="75"/>
      <c r="AP26" s="75"/>
      <c r="AR26" s="94" t="s">
        <v>136</v>
      </c>
      <c r="AS26" s="29"/>
      <c r="AT26" s="29"/>
      <c r="AU26" s="29"/>
      <c r="AV26" s="29"/>
      <c r="AW26" s="29"/>
    </row>
    <row r="27" spans="1:51" x14ac:dyDescent="0.3">
      <c r="A27" s="31" t="s">
        <v>60</v>
      </c>
      <c r="B27" s="62" t="s">
        <v>58</v>
      </c>
      <c r="C27" s="63">
        <f ca="1">SUM(C14:C26)</f>
        <v>0</v>
      </c>
      <c r="D27" s="64" t="str">
        <f ca="1">IF(C27&lt;0,"-"&amp;TEXT(ABS(C27/24),"[tt]:mm"),TEXT(C27/24,"[tt]:mm"))</f>
        <v>00:00</v>
      </c>
      <c r="E27" s="58"/>
      <c r="F27" s="58"/>
      <c r="G27" s="29"/>
      <c r="H27" s="29"/>
      <c r="I27" s="29"/>
      <c r="J27" s="29"/>
      <c r="K27" s="29"/>
      <c r="L27" s="29"/>
      <c r="M27" s="29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29"/>
      <c r="AC27" s="29"/>
      <c r="AD27" s="29"/>
      <c r="AE27" s="29"/>
      <c r="AF27" s="29"/>
      <c r="AG27" s="29"/>
      <c r="AH27" s="29"/>
      <c r="AI27" s="29"/>
      <c r="AJ27" s="75" t="s">
        <v>23</v>
      </c>
      <c r="AK27" s="75" t="s">
        <v>80</v>
      </c>
      <c r="AL27" s="75">
        <f>INT((AL22+AL25-7*AL26+114)/31)</f>
        <v>4</v>
      </c>
      <c r="AM27" s="75"/>
      <c r="AN27" s="75"/>
      <c r="AO27" s="75"/>
      <c r="AP27" s="75"/>
      <c r="AX27" s="29"/>
      <c r="AY27" s="29"/>
    </row>
    <row r="28" spans="1:51" x14ac:dyDescent="0.3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29"/>
      <c r="AC28" s="29"/>
      <c r="AD28" s="29"/>
      <c r="AE28" s="29"/>
      <c r="AF28" s="29"/>
      <c r="AG28" s="29"/>
      <c r="AH28" s="29"/>
      <c r="AI28" s="29"/>
      <c r="AJ28" s="75" t="s">
        <v>90</v>
      </c>
      <c r="AK28" s="75" t="s">
        <v>78</v>
      </c>
      <c r="AL28" s="75">
        <f>MOD(AL22+AL25-7*AL26+114,31)</f>
        <v>4</v>
      </c>
      <c r="AM28" s="75"/>
      <c r="AN28" s="75"/>
      <c r="AO28" s="75"/>
      <c r="AP28" s="75"/>
      <c r="AR28" s="29"/>
      <c r="AS28" s="29"/>
      <c r="AT28" s="29"/>
      <c r="AU28" s="29"/>
      <c r="AV28" s="29"/>
      <c r="AW28" s="29"/>
      <c r="AX28" s="29"/>
      <c r="AY28" s="29"/>
    </row>
    <row r="29" spans="1:51" x14ac:dyDescent="0.3">
      <c r="A29" s="65"/>
      <c r="B29" s="65"/>
      <c r="C29" s="65"/>
      <c r="D29" s="65"/>
      <c r="E29" s="65"/>
      <c r="F29" s="65"/>
      <c r="G29" s="29"/>
      <c r="H29" s="29"/>
      <c r="I29" s="29"/>
      <c r="J29" s="29"/>
      <c r="K29" s="29"/>
      <c r="L29" s="29"/>
      <c r="M29" s="29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29"/>
      <c r="AC29" s="29"/>
      <c r="AD29" s="29"/>
      <c r="AE29" s="29"/>
      <c r="AF29" s="29"/>
      <c r="AG29" s="29"/>
      <c r="AH29" s="29"/>
      <c r="AI29" s="29"/>
      <c r="AJ29" s="75" t="s">
        <v>91</v>
      </c>
      <c r="AK29" s="75" t="s">
        <v>92</v>
      </c>
      <c r="AL29" s="75">
        <f>(AL27-3)*31+AL28-20</f>
        <v>15</v>
      </c>
      <c r="AM29" s="75"/>
      <c r="AN29" s="75"/>
      <c r="AO29" s="75"/>
      <c r="AP29" s="75"/>
      <c r="AR29" s="29"/>
      <c r="AS29" s="29"/>
      <c r="AT29" s="29"/>
      <c r="AU29" s="29"/>
      <c r="AV29" s="29"/>
      <c r="AW29" s="29"/>
      <c r="AX29" s="29"/>
      <c r="AY29" s="29"/>
    </row>
    <row r="30" spans="1:51" x14ac:dyDescent="0.3">
      <c r="A30" s="28" t="s">
        <v>101</v>
      </c>
      <c r="B30" s="28" t="s">
        <v>29</v>
      </c>
      <c r="C30" s="29"/>
      <c r="D30" s="65"/>
      <c r="E30" s="29"/>
      <c r="F30" s="65"/>
      <c r="G30" s="29"/>
      <c r="H30" s="29"/>
      <c r="I30" s="29"/>
      <c r="J30" s="29"/>
      <c r="K30" s="29"/>
      <c r="L30" s="29"/>
      <c r="M30" s="29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29"/>
      <c r="AC30" s="29"/>
      <c r="AD30" s="29"/>
      <c r="AE30" s="29"/>
      <c r="AF30" s="29"/>
      <c r="AG30" s="29"/>
      <c r="AH30" s="29"/>
      <c r="AI30" s="29"/>
      <c r="AJ30" s="75"/>
      <c r="AK30" s="75"/>
      <c r="AL30" s="75"/>
      <c r="AM30" s="75"/>
      <c r="AN30" s="75"/>
      <c r="AO30" s="75"/>
      <c r="AP30" s="75"/>
      <c r="AR30" s="29"/>
      <c r="AS30" s="29"/>
      <c r="AT30" s="29"/>
      <c r="AU30" s="29"/>
      <c r="AV30" s="29"/>
      <c r="AW30" s="29"/>
      <c r="AX30" s="29"/>
      <c r="AY30" s="29"/>
    </row>
    <row r="31" spans="1:51" x14ac:dyDescent="0.3">
      <c r="A31" s="49" t="s">
        <v>105</v>
      </c>
      <c r="B31" s="66">
        <f>DATE(B5,1,1)</f>
        <v>46023</v>
      </c>
      <c r="C31" s="29"/>
      <c r="D31" s="29"/>
      <c r="E31" s="29"/>
      <c r="F31" s="65"/>
      <c r="G31" s="29"/>
      <c r="H31" s="29"/>
      <c r="I31" s="29"/>
      <c r="J31" s="29"/>
      <c r="K31" s="29"/>
      <c r="L31" s="29"/>
      <c r="M31" s="29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29"/>
      <c r="AC31" s="29"/>
      <c r="AD31" s="29"/>
      <c r="AE31" s="29"/>
      <c r="AF31" s="29"/>
      <c r="AG31" s="29"/>
      <c r="AH31" s="29"/>
      <c r="AI31" s="29"/>
      <c r="AJ31" s="75"/>
      <c r="AK31" s="75" t="s">
        <v>30</v>
      </c>
      <c r="AL31" s="75">
        <f>AL28+1</f>
        <v>5</v>
      </c>
      <c r="AM31" s="75"/>
      <c r="AN31" s="75"/>
      <c r="AO31" s="75"/>
      <c r="AP31" s="75"/>
      <c r="AR31" s="29"/>
      <c r="AS31" s="29"/>
      <c r="AT31" s="29"/>
      <c r="AU31" s="29"/>
      <c r="AV31" s="29"/>
      <c r="AW31" s="29"/>
      <c r="AX31" s="29"/>
      <c r="AY31" s="29"/>
    </row>
    <row r="32" spans="1:51" x14ac:dyDescent="0.3">
      <c r="A32" s="49" t="s">
        <v>106</v>
      </c>
      <c r="B32" s="66">
        <f>B35-7</f>
        <v>46110</v>
      </c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29"/>
      <c r="AC32" s="29"/>
      <c r="AD32" s="29"/>
      <c r="AE32" s="29"/>
      <c r="AF32" s="29"/>
      <c r="AG32" s="29"/>
      <c r="AH32" s="29"/>
      <c r="AI32" s="29"/>
      <c r="AJ32" s="75"/>
      <c r="AK32" s="75" t="s">
        <v>20</v>
      </c>
      <c r="AL32" s="75">
        <f>AL27</f>
        <v>4</v>
      </c>
      <c r="AM32" s="75"/>
      <c r="AN32" s="75"/>
      <c r="AO32" s="75"/>
      <c r="AP32" s="75"/>
      <c r="AR32" s="29"/>
      <c r="AS32" s="29"/>
      <c r="AT32" s="29"/>
      <c r="AU32" s="29"/>
      <c r="AV32" s="29"/>
      <c r="AW32" s="29"/>
      <c r="AX32" s="29"/>
      <c r="AY32" s="29"/>
    </row>
    <row r="33" spans="1:51" x14ac:dyDescent="0.3">
      <c r="A33" s="49" t="s">
        <v>107</v>
      </c>
      <c r="B33" s="66">
        <f>AM35</f>
        <v>46114</v>
      </c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29"/>
      <c r="AC33" s="29"/>
      <c r="AD33" s="29"/>
      <c r="AE33" s="29"/>
      <c r="AF33" s="29"/>
      <c r="AG33" s="29"/>
      <c r="AH33" s="29"/>
      <c r="AI33" s="29"/>
      <c r="AJ33" s="75"/>
      <c r="AK33" s="75"/>
      <c r="AL33" s="75"/>
      <c r="AM33" s="75"/>
      <c r="AN33" s="75"/>
      <c r="AO33" s="75"/>
      <c r="AP33" s="75"/>
      <c r="AR33" s="29"/>
      <c r="AS33" s="29"/>
      <c r="AT33" s="29"/>
      <c r="AU33" s="29"/>
      <c r="AV33" s="29"/>
      <c r="AW33" s="29"/>
      <c r="AX33" s="29"/>
      <c r="AY33" s="29"/>
    </row>
    <row r="34" spans="1:51" x14ac:dyDescent="0.3">
      <c r="A34" s="49" t="s">
        <v>108</v>
      </c>
      <c r="B34" s="66">
        <f>AM36</f>
        <v>46115</v>
      </c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29"/>
      <c r="AC34" s="29"/>
      <c r="AD34" s="29"/>
      <c r="AE34" s="29"/>
      <c r="AF34" s="29"/>
      <c r="AG34" s="29"/>
      <c r="AH34" s="29"/>
      <c r="AI34" s="29"/>
      <c r="AJ34" s="75"/>
      <c r="AK34" s="75"/>
      <c r="AL34" s="75"/>
      <c r="AM34" s="75" t="s">
        <v>93</v>
      </c>
      <c r="AN34" s="75"/>
      <c r="AO34" s="75" t="s">
        <v>94</v>
      </c>
      <c r="AP34" s="75"/>
      <c r="AR34" s="29"/>
      <c r="AS34" s="29"/>
      <c r="AT34" s="29"/>
      <c r="AU34" s="29"/>
      <c r="AV34" s="29"/>
      <c r="AW34" s="29"/>
      <c r="AX34" s="29"/>
      <c r="AY34" s="29"/>
    </row>
    <row r="35" spans="1:51" x14ac:dyDescent="0.3">
      <c r="A35" s="49" t="s">
        <v>109</v>
      </c>
      <c r="B35" s="66">
        <f>AM37</f>
        <v>46117</v>
      </c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29"/>
      <c r="AC35" s="29"/>
      <c r="AD35" s="29"/>
      <c r="AE35" s="29"/>
      <c r="AF35" s="29"/>
      <c r="AG35" s="29"/>
      <c r="AH35" s="29"/>
      <c r="AI35" s="29"/>
      <c r="AJ35" s="75"/>
      <c r="AK35" s="75" t="s">
        <v>65</v>
      </c>
      <c r="AL35" s="75"/>
      <c r="AM35" s="77">
        <f>AM37-3</f>
        <v>46114</v>
      </c>
      <c r="AN35" s="77">
        <f>AN37-3</f>
        <v>93</v>
      </c>
      <c r="AO35" s="75">
        <v>-3</v>
      </c>
      <c r="AP35" s="75"/>
      <c r="AR35" s="29"/>
      <c r="AS35" s="29"/>
      <c r="AT35" s="29"/>
      <c r="AU35" s="29"/>
      <c r="AV35" s="29"/>
      <c r="AW35" s="29"/>
      <c r="AX35" s="29"/>
      <c r="AY35" s="29"/>
    </row>
    <row r="36" spans="1:51" x14ac:dyDescent="0.3">
      <c r="A36" s="49" t="s">
        <v>68</v>
      </c>
      <c r="B36" s="66">
        <f>AM38</f>
        <v>46118</v>
      </c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29"/>
      <c r="AC36" s="29"/>
      <c r="AD36" s="29"/>
      <c r="AE36" s="29"/>
      <c r="AF36" s="29"/>
      <c r="AG36" s="29"/>
      <c r="AH36" s="29"/>
      <c r="AI36" s="29"/>
      <c r="AJ36" s="75"/>
      <c r="AK36" s="75" t="s">
        <v>66</v>
      </c>
      <c r="AL36" s="75"/>
      <c r="AM36" s="77">
        <f>AM37-2</f>
        <v>46115</v>
      </c>
      <c r="AN36" s="77">
        <f>AN37-2</f>
        <v>94</v>
      </c>
      <c r="AO36" s="75">
        <v>-2</v>
      </c>
      <c r="AP36" s="75"/>
      <c r="AR36" s="29"/>
      <c r="AS36" s="29"/>
      <c r="AT36" s="29"/>
      <c r="AU36" s="29"/>
      <c r="AV36" s="29"/>
      <c r="AW36" s="29"/>
      <c r="AX36" s="29"/>
      <c r="AY36" s="29"/>
    </row>
    <row r="37" spans="1:51" x14ac:dyDescent="0.3">
      <c r="A37" s="49" t="s">
        <v>110</v>
      </c>
      <c r="B37" s="66">
        <f>AM45</f>
        <v>46156</v>
      </c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29"/>
      <c r="AC37" s="29"/>
      <c r="AD37" s="29"/>
      <c r="AE37" s="29"/>
      <c r="AF37" s="29"/>
      <c r="AG37" s="29"/>
      <c r="AH37" s="29"/>
      <c r="AI37" s="29"/>
      <c r="AJ37" s="75"/>
      <c r="AK37" s="76" t="s">
        <v>67</v>
      </c>
      <c r="AL37" s="75"/>
      <c r="AM37" s="77">
        <f>DATE(AL12,AL32,AL31)</f>
        <v>46117</v>
      </c>
      <c r="AN37" s="77">
        <f>DATE(År,AL32,AL31)</f>
        <v>96</v>
      </c>
      <c r="AO37" s="75"/>
      <c r="AP37" s="75"/>
      <c r="AR37" s="29"/>
      <c r="AS37" s="29"/>
      <c r="AT37" s="29"/>
      <c r="AU37" s="29"/>
      <c r="AV37" s="29"/>
      <c r="AW37" s="29"/>
      <c r="AX37" s="29"/>
      <c r="AY37" s="29"/>
    </row>
    <row r="38" spans="1:51" x14ac:dyDescent="0.3">
      <c r="A38" s="49" t="s">
        <v>111</v>
      </c>
      <c r="B38" s="66">
        <f>AM47</f>
        <v>46166</v>
      </c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29"/>
      <c r="AC38" s="29"/>
      <c r="AD38" s="29"/>
      <c r="AE38" s="29"/>
      <c r="AF38" s="29"/>
      <c r="AG38" s="29"/>
      <c r="AH38" s="29"/>
      <c r="AI38" s="29"/>
      <c r="AJ38" s="75"/>
      <c r="AK38" s="75" t="s">
        <v>68</v>
      </c>
      <c r="AL38" s="75"/>
      <c r="AM38" s="77">
        <f>AM37+1</f>
        <v>46118</v>
      </c>
      <c r="AN38" s="77">
        <f>AN37+1</f>
        <v>97</v>
      </c>
      <c r="AO38" s="75">
        <v>1</v>
      </c>
      <c r="AP38" s="75"/>
      <c r="AR38" s="29"/>
      <c r="AS38" s="29"/>
      <c r="AT38" s="29"/>
      <c r="AU38" s="29"/>
      <c r="AV38" s="29"/>
      <c r="AW38" s="29"/>
      <c r="AX38" s="29"/>
      <c r="AY38" s="29"/>
    </row>
    <row r="39" spans="1:51" x14ac:dyDescent="0.3">
      <c r="A39" s="49" t="s">
        <v>72</v>
      </c>
      <c r="B39" s="66">
        <f>AM48</f>
        <v>46167</v>
      </c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29"/>
      <c r="AC39" s="29"/>
      <c r="AD39" s="29"/>
      <c r="AE39" s="29"/>
      <c r="AF39" s="29"/>
      <c r="AG39" s="29"/>
      <c r="AH39" s="29"/>
      <c r="AI39" s="29"/>
      <c r="AJ39" s="75"/>
      <c r="AK39" s="75" t="s">
        <v>95</v>
      </c>
      <c r="AL39" s="75"/>
      <c r="AM39" s="77">
        <f>AM37+7</f>
        <v>46124</v>
      </c>
      <c r="AN39" s="75"/>
      <c r="AO39" s="75"/>
      <c r="AP39" s="75"/>
      <c r="AR39" s="29"/>
      <c r="AS39" s="29"/>
      <c r="AT39" s="29"/>
      <c r="AU39" s="29"/>
      <c r="AV39" s="29"/>
      <c r="AW39" s="29"/>
      <c r="AX39" s="29"/>
      <c r="AY39" s="29"/>
    </row>
    <row r="40" spans="1:51" x14ac:dyDescent="0.3">
      <c r="A40" s="49" t="s">
        <v>119</v>
      </c>
      <c r="B40" s="66">
        <f>DATE(B5,6,5)</f>
        <v>46178</v>
      </c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29"/>
      <c r="AC40" s="29"/>
      <c r="AD40" s="29"/>
      <c r="AE40" s="29"/>
      <c r="AF40" s="29"/>
      <c r="AG40" s="29"/>
      <c r="AH40" s="29"/>
      <c r="AI40" s="29"/>
      <c r="AJ40" s="75"/>
      <c r="AK40" s="75" t="s">
        <v>96</v>
      </c>
      <c r="AL40" s="75"/>
      <c r="AM40" s="77">
        <f>AM39+7</f>
        <v>46131</v>
      </c>
      <c r="AN40" s="75"/>
      <c r="AO40" s="75"/>
      <c r="AP40" s="75"/>
      <c r="AR40" s="29"/>
      <c r="AS40" s="29"/>
      <c r="AT40" s="29"/>
      <c r="AU40" s="29"/>
      <c r="AV40" s="29"/>
      <c r="AW40" s="29"/>
      <c r="AX40" s="29"/>
      <c r="AY40" s="29"/>
    </row>
    <row r="41" spans="1:51" x14ac:dyDescent="0.3">
      <c r="A41" s="49" t="s">
        <v>112</v>
      </c>
      <c r="B41" s="66">
        <f>DATE(B5,12,24)</f>
        <v>46380</v>
      </c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29"/>
      <c r="AC41" s="29"/>
      <c r="AD41" s="29"/>
      <c r="AE41" s="29"/>
      <c r="AF41" s="29"/>
      <c r="AG41" s="29"/>
      <c r="AH41" s="29"/>
      <c r="AI41" s="29"/>
      <c r="AJ41" s="75"/>
      <c r="AK41" s="75" t="s">
        <v>97</v>
      </c>
      <c r="AL41" s="75"/>
      <c r="AM41" s="77">
        <f>AM40+7</f>
        <v>46138</v>
      </c>
      <c r="AN41" s="75"/>
      <c r="AO41" s="75"/>
      <c r="AP41" s="75"/>
      <c r="AR41" s="29"/>
      <c r="AS41" s="29"/>
      <c r="AT41" s="29"/>
      <c r="AU41" s="29"/>
      <c r="AV41" s="29"/>
      <c r="AW41" s="29"/>
      <c r="AX41" s="29"/>
      <c r="AY41" s="29"/>
    </row>
    <row r="42" spans="1:51" x14ac:dyDescent="0.3">
      <c r="A42" s="49" t="s">
        <v>73</v>
      </c>
      <c r="B42" s="66">
        <f>B41+1</f>
        <v>46381</v>
      </c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29"/>
      <c r="AC42" s="29"/>
      <c r="AD42" s="29"/>
      <c r="AE42" s="29"/>
      <c r="AF42" s="29"/>
      <c r="AG42" s="29"/>
      <c r="AH42" s="29"/>
      <c r="AI42" s="29"/>
      <c r="AJ42" s="75"/>
      <c r="AK42" s="75" t="s">
        <v>69</v>
      </c>
      <c r="AL42" s="75"/>
      <c r="AM42" s="77">
        <f>AM41+5</f>
        <v>46143</v>
      </c>
      <c r="AN42" s="77">
        <f>AN37+26</f>
        <v>122</v>
      </c>
      <c r="AO42" s="75">
        <v>26</v>
      </c>
      <c r="AP42" s="75"/>
      <c r="AR42" s="29"/>
      <c r="AS42" s="29"/>
      <c r="AT42" s="29"/>
      <c r="AU42" s="29"/>
      <c r="AV42" s="29"/>
      <c r="AW42" s="29"/>
      <c r="AX42" s="29"/>
      <c r="AY42" s="29"/>
    </row>
    <row r="43" spans="1:51" x14ac:dyDescent="0.3">
      <c r="A43" s="49" t="s">
        <v>74</v>
      </c>
      <c r="B43" s="66">
        <f>B41+2</f>
        <v>46382</v>
      </c>
      <c r="C43" s="29"/>
      <c r="D43" s="29"/>
      <c r="E43" s="29"/>
      <c r="F43" s="45"/>
      <c r="G43" s="29"/>
      <c r="H43" s="29"/>
      <c r="I43" s="29"/>
      <c r="J43" s="29"/>
      <c r="K43" s="29"/>
      <c r="L43" s="29"/>
      <c r="M43" s="29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29"/>
      <c r="AC43" s="29"/>
      <c r="AD43" s="29"/>
      <c r="AE43" s="29"/>
      <c r="AF43" s="29"/>
      <c r="AG43" s="29"/>
      <c r="AH43" s="29"/>
      <c r="AI43" s="29"/>
      <c r="AJ43" s="75"/>
      <c r="AK43" s="75" t="s">
        <v>98</v>
      </c>
      <c r="AL43" s="75"/>
      <c r="AM43" s="77">
        <f>AM41+7</f>
        <v>46145</v>
      </c>
      <c r="AN43" s="75"/>
      <c r="AO43" s="75"/>
      <c r="AP43" s="75"/>
      <c r="AR43" s="29"/>
      <c r="AS43" s="29"/>
      <c r="AT43" s="29"/>
      <c r="AU43" s="29"/>
      <c r="AV43" s="29"/>
      <c r="AW43" s="29"/>
      <c r="AX43" s="29"/>
      <c r="AY43" s="29"/>
    </row>
    <row r="44" spans="1:51" x14ac:dyDescent="0.3">
      <c r="A44" s="49" t="s">
        <v>113</v>
      </c>
      <c r="B44" s="66">
        <f>DATE(B5,12,31)</f>
        <v>46387</v>
      </c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75"/>
      <c r="AK44" s="75" t="s">
        <v>99</v>
      </c>
      <c r="AL44" s="75"/>
      <c r="AM44" s="77">
        <f>AM43+7</f>
        <v>46152</v>
      </c>
      <c r="AN44" s="75"/>
      <c r="AO44" s="75"/>
      <c r="AP44" s="75"/>
      <c r="AR44" s="29"/>
      <c r="AS44" s="29"/>
      <c r="AT44" s="29"/>
      <c r="AU44" s="29"/>
      <c r="AV44" s="29"/>
      <c r="AW44" s="29"/>
      <c r="AX44" s="29"/>
      <c r="AY44" s="29"/>
    </row>
    <row r="45" spans="1:51" x14ac:dyDescent="0.3">
      <c r="A45" s="29"/>
      <c r="B45" s="5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75"/>
      <c r="AK45" s="75" t="s">
        <v>70</v>
      </c>
      <c r="AL45" s="75"/>
      <c r="AM45" s="77">
        <f>AM44+4</f>
        <v>46156</v>
      </c>
      <c r="AN45" s="77">
        <f>AN37+39</f>
        <v>135</v>
      </c>
      <c r="AO45" s="75">
        <v>39</v>
      </c>
      <c r="AP45" s="75"/>
      <c r="AR45" s="29"/>
      <c r="AS45" s="29"/>
      <c r="AT45" s="29"/>
      <c r="AU45" s="29"/>
      <c r="AV45" s="29"/>
      <c r="AW45" s="29"/>
      <c r="AX45" s="29"/>
      <c r="AY45" s="29"/>
    </row>
    <row r="46" spans="1:51" x14ac:dyDescent="0.3">
      <c r="A46" s="85"/>
      <c r="B46" s="5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75"/>
      <c r="AK46" s="75" t="s">
        <v>100</v>
      </c>
      <c r="AL46" s="75"/>
      <c r="AM46" s="77">
        <f>AM44+7</f>
        <v>46159</v>
      </c>
      <c r="AN46" s="75"/>
      <c r="AO46" s="75"/>
      <c r="AP46" s="75"/>
      <c r="AR46" s="29"/>
      <c r="AS46" s="29"/>
      <c r="AT46" s="29"/>
      <c r="AU46" s="29"/>
      <c r="AV46" s="29"/>
      <c r="AW46" s="29"/>
      <c r="AX46" s="29"/>
      <c r="AY46" s="29"/>
    </row>
    <row r="47" spans="1:51" x14ac:dyDescent="0.3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75"/>
      <c r="AK47" s="75" t="s">
        <v>71</v>
      </c>
      <c r="AL47" s="75"/>
      <c r="AM47" s="77">
        <f>AM46+7</f>
        <v>46166</v>
      </c>
      <c r="AN47" s="77">
        <f>AN37+49</f>
        <v>145</v>
      </c>
      <c r="AO47" s="75">
        <v>49</v>
      </c>
      <c r="AP47" s="75"/>
      <c r="AR47" s="29"/>
      <c r="AS47" s="29"/>
      <c r="AT47" s="29"/>
      <c r="AU47" s="29"/>
      <c r="AV47" s="29"/>
      <c r="AW47" s="29"/>
      <c r="AX47" s="29"/>
      <c r="AY47" s="29"/>
    </row>
    <row r="48" spans="1:51" x14ac:dyDescent="0.3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75"/>
      <c r="AK48" s="75" t="s">
        <v>72</v>
      </c>
      <c r="AL48" s="75"/>
      <c r="AM48" s="77">
        <f>AM47+1</f>
        <v>46167</v>
      </c>
      <c r="AN48" s="77">
        <f>AN37+50</f>
        <v>146</v>
      </c>
      <c r="AO48" s="75">
        <v>50</v>
      </c>
      <c r="AP48" s="75"/>
      <c r="AR48" s="29"/>
      <c r="AS48" s="29"/>
      <c r="AT48" s="29"/>
      <c r="AU48" s="29"/>
      <c r="AV48" s="29"/>
      <c r="AW48" s="29"/>
      <c r="AX48" s="29"/>
      <c r="AY48" s="29"/>
    </row>
    <row r="49" spans="1:51" x14ac:dyDescent="0.3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R49" s="29"/>
      <c r="AS49" s="29"/>
      <c r="AT49" s="29"/>
      <c r="AU49" s="29"/>
      <c r="AV49" s="29"/>
      <c r="AW49" s="29"/>
      <c r="AX49" s="29"/>
      <c r="AY49" s="29"/>
    </row>
    <row r="50" spans="1:51" x14ac:dyDescent="0.3">
      <c r="H50" s="2"/>
    </row>
    <row r="55" spans="1:51" x14ac:dyDescent="0.3">
      <c r="A55" s="29"/>
      <c r="G55" s="29"/>
      <c r="H55" s="29"/>
      <c r="I55" s="29"/>
      <c r="J55" s="29"/>
      <c r="K55" s="29"/>
    </row>
    <row r="56" spans="1:51" x14ac:dyDescent="0.3">
      <c r="A56" s="29"/>
      <c r="G56" s="32"/>
      <c r="H56" s="29"/>
      <c r="I56" s="29"/>
      <c r="J56" s="29"/>
      <c r="K56" s="29"/>
    </row>
    <row r="57" spans="1:51" x14ac:dyDescent="0.3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</row>
    <row r="60" spans="1:51" x14ac:dyDescent="0.3">
      <c r="J60" s="29"/>
    </row>
    <row r="61" spans="1:51" x14ac:dyDescent="0.3">
      <c r="J61" s="29"/>
    </row>
    <row r="62" spans="1:51" x14ac:dyDescent="0.3">
      <c r="J62" s="29"/>
    </row>
  </sheetData>
  <sheetProtection algorithmName="SHA-512" hashValue="byL6mFGXOOBMug0brL3AvgXvjdu0bIQ3RpTYUUfXeKtHLOLhJvtxPEACDPFvjcOMTIArUMAjEbWY66tqWYbq3g==" saltValue="gyJuWMXJiJra6BTImtv4mA==" spinCount="100000" sheet="1" objects="1" scenarios="1"/>
  <mergeCells count="4">
    <mergeCell ref="AJ11:AM11"/>
    <mergeCell ref="AI7:AN7"/>
    <mergeCell ref="AR3:AU3"/>
    <mergeCell ref="AR19:AU19"/>
  </mergeCells>
  <phoneticPr fontId="1" type="noConversion"/>
  <conditionalFormatting sqref="AS5:AT7">
    <cfRule type="expression" dxfId="66" priority="1">
      <formula>OR($G5="N")</formula>
    </cfRule>
    <cfRule type="expression" dxfId="65" priority="2">
      <formula>$G5="R"</formula>
    </cfRule>
  </conditionalFormatting>
  <conditionalFormatting sqref="AU8">
    <cfRule type="expression" dxfId="64" priority="5">
      <formula>OR($G9="N")</formula>
    </cfRule>
    <cfRule type="expression" dxfId="63" priority="6">
      <formula>$G9="R"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8C12C-34AA-4BF2-9E56-EB13D20B681D}">
  <dimension ref="A1:AS77"/>
  <sheetViews>
    <sheetView zoomScale="70" zoomScaleNormal="70" workbookViewId="0">
      <selection activeCell="I5" sqref="I5"/>
    </sheetView>
  </sheetViews>
  <sheetFormatPr defaultRowHeight="14.4" outlineLevelCol="1" x14ac:dyDescent="0.3"/>
  <cols>
    <col min="1" max="1" width="15.5546875" customWidth="1"/>
    <col min="2" max="2" width="14.109375" customWidth="1"/>
    <col min="3" max="3" width="16.6640625" customWidth="1"/>
    <col min="4" max="4" width="15" hidden="1" customWidth="1"/>
    <col min="5" max="5" width="12.88671875" hidden="1" customWidth="1"/>
    <col min="6" max="6" width="13.5546875" bestFit="1" customWidth="1"/>
    <col min="7" max="7" width="16.33203125" bestFit="1" customWidth="1"/>
    <col min="8" max="8" width="24.109375" hidden="1" customWidth="1"/>
    <col min="9" max="9" width="17.88671875" customWidth="1"/>
    <col min="10" max="11" width="11.33203125" customWidth="1"/>
    <col min="12" max="12" width="18.6640625" customWidth="1"/>
    <col min="13" max="13" width="11.5546875" customWidth="1"/>
    <col min="14" max="15" width="11.109375" hidden="1" customWidth="1" outlineLevel="1"/>
    <col min="16" max="16" width="7.6640625" hidden="1" customWidth="1" outlineLevel="1"/>
    <col min="17" max="18" width="7.5546875" hidden="1" customWidth="1" outlineLevel="1"/>
    <col min="19" max="19" width="53.44140625" customWidth="1" collapsed="1"/>
    <col min="20" max="20" width="29.44140625" customWidth="1"/>
    <col min="21" max="21" width="9.109375" hidden="1" customWidth="1" outlineLevel="1"/>
    <col min="22" max="22" width="24.6640625" hidden="1" customWidth="1" outlineLevel="1"/>
    <col min="23" max="23" width="43" hidden="1" customWidth="1" outlineLevel="1"/>
    <col min="24" max="24" width="14" hidden="1" customWidth="1" outlineLevel="1"/>
    <col min="25" max="25" width="19.44140625" customWidth="1" outlineLevel="1"/>
  </cols>
  <sheetData>
    <row r="1" spans="1:45" ht="16.5" customHeight="1" thickBot="1" x14ac:dyDescent="0.35">
      <c r="A1" s="14" t="s">
        <v>102</v>
      </c>
      <c r="B1" s="15">
        <v>37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</row>
    <row r="2" spans="1:45" ht="36" customHeight="1" x14ac:dyDescent="0.3">
      <c r="A2" s="39" t="s">
        <v>130</v>
      </c>
      <c r="B2" s="91" t="b">
        <v>0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48" t="s">
        <v>21</v>
      </c>
      <c r="N2" s="67"/>
      <c r="O2" s="67"/>
      <c r="P2" s="67"/>
      <c r="Q2" s="67"/>
      <c r="R2" s="67"/>
      <c r="S2" s="99" t="s">
        <v>22</v>
      </c>
      <c r="T2" s="100"/>
      <c r="U2" s="45"/>
      <c r="W2" s="45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</row>
    <row r="3" spans="1:45" ht="33.75" customHeight="1" x14ac:dyDescent="0.3">
      <c r="A3" s="38" t="s">
        <v>59</v>
      </c>
      <c r="B3" s="68" t="str">
        <f ca="1">Masterdata!$D$27</f>
        <v>00:00</v>
      </c>
      <c r="C3" s="46"/>
      <c r="D3" s="29"/>
      <c r="E3" s="29"/>
      <c r="F3" s="29"/>
      <c r="G3" s="29"/>
      <c r="H3" s="29"/>
      <c r="I3" s="29"/>
      <c r="J3" s="29"/>
      <c r="K3" s="88"/>
      <c r="L3" s="46"/>
      <c r="M3" s="89" t="s">
        <v>49</v>
      </c>
      <c r="N3" s="29"/>
      <c r="O3" s="29"/>
      <c r="P3" s="29"/>
      <c r="Q3" s="29"/>
      <c r="R3" s="29"/>
      <c r="S3" s="101" t="s">
        <v>131</v>
      </c>
      <c r="T3" s="102"/>
      <c r="U3" s="45"/>
      <c r="V3" s="45"/>
      <c r="W3" s="45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</row>
    <row r="4" spans="1:45" ht="28.8" x14ac:dyDescent="0.3">
      <c r="A4" s="39" t="s">
        <v>63</v>
      </c>
      <c r="B4" s="68" t="str">
        <f>IF(R39&lt;0,"-"&amp;TEXT(ABS(R39/24),"[tt]:mm"),TEXT(R39/24,"[tt]:mm"))</f>
        <v>00:00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35" t="s">
        <v>23</v>
      </c>
      <c r="N4" s="29"/>
      <c r="O4" s="29"/>
      <c r="P4" s="29"/>
      <c r="Q4" s="29"/>
      <c r="R4" s="29"/>
      <c r="S4" s="101" t="s">
        <v>24</v>
      </c>
      <c r="T4" s="102"/>
      <c r="U4" s="46"/>
      <c r="V4" s="46"/>
      <c r="W4" s="46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</row>
    <row r="5" spans="1:45" ht="59.1" customHeight="1" x14ac:dyDescent="0.3">
      <c r="A5" s="17" t="s">
        <v>2</v>
      </c>
      <c r="B5" s="40">
        <f>Masterdata!$B$5</f>
        <v>2026</v>
      </c>
      <c r="C5" s="29"/>
      <c r="D5" s="29"/>
      <c r="E5" s="29"/>
      <c r="F5" s="29"/>
      <c r="G5" s="29"/>
      <c r="H5" s="29"/>
      <c r="I5" s="29"/>
      <c r="J5" s="29"/>
      <c r="K5" s="29"/>
      <c r="L5" s="29"/>
      <c r="M5" s="35" t="s">
        <v>25</v>
      </c>
      <c r="N5" s="29"/>
      <c r="O5" s="29"/>
      <c r="P5" s="29"/>
      <c r="Q5" s="29"/>
      <c r="R5" s="29"/>
      <c r="S5" s="103" t="s">
        <v>120</v>
      </c>
      <c r="T5" s="104"/>
      <c r="U5" s="47"/>
      <c r="V5" s="47"/>
      <c r="W5" s="47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</row>
    <row r="6" spans="1:45" ht="15" thickBot="1" x14ac:dyDescent="0.35">
      <c r="A6" s="13" t="s">
        <v>20</v>
      </c>
      <c r="B6" s="18">
        <f>B9</f>
        <v>46266</v>
      </c>
      <c r="C6" s="29"/>
      <c r="D6" s="29"/>
      <c r="E6" s="29"/>
      <c r="F6" s="29"/>
      <c r="G6" s="29"/>
      <c r="H6" s="29"/>
      <c r="I6" s="29"/>
      <c r="J6" s="29"/>
      <c r="K6" s="29"/>
      <c r="L6" s="29"/>
      <c r="M6" s="36" t="s">
        <v>26</v>
      </c>
      <c r="N6" s="69"/>
      <c r="O6" s="69"/>
      <c r="P6" s="69"/>
      <c r="Q6" s="69"/>
      <c r="R6" s="69"/>
      <c r="S6" s="105" t="s">
        <v>27</v>
      </c>
      <c r="T6" s="106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</row>
    <row r="7" spans="1:45" ht="15" thickBot="1" x14ac:dyDescent="0.35">
      <c r="A7" s="29"/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87">
        <f>$B$1/24</f>
        <v>1.5416666666666667</v>
      </c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</row>
    <row r="8" spans="1:45" ht="21.75" customHeight="1" thickBot="1" x14ac:dyDescent="0.35">
      <c r="A8" s="4" t="s">
        <v>28</v>
      </c>
      <c r="B8" s="5" t="s">
        <v>29</v>
      </c>
      <c r="C8" s="5" t="s">
        <v>30</v>
      </c>
      <c r="D8" s="5" t="s">
        <v>31</v>
      </c>
      <c r="E8" s="5" t="s">
        <v>32</v>
      </c>
      <c r="F8" s="5" t="s">
        <v>21</v>
      </c>
      <c r="G8" s="5" t="s">
        <v>102</v>
      </c>
      <c r="H8" s="5" t="s">
        <v>129</v>
      </c>
      <c r="I8" s="5" t="s">
        <v>33</v>
      </c>
      <c r="J8" s="6" t="s">
        <v>34</v>
      </c>
      <c r="K8" s="6" t="s">
        <v>35</v>
      </c>
      <c r="L8" s="6" t="s">
        <v>103</v>
      </c>
      <c r="M8" s="5" t="s">
        <v>36</v>
      </c>
      <c r="N8" s="22" t="s">
        <v>37</v>
      </c>
      <c r="O8" s="23" t="s">
        <v>38</v>
      </c>
      <c r="P8" s="23" t="s">
        <v>39</v>
      </c>
      <c r="Q8" s="23"/>
      <c r="R8" s="29"/>
      <c r="S8" s="107" t="s">
        <v>40</v>
      </c>
      <c r="T8" s="108"/>
      <c r="U8" s="29"/>
      <c r="V8" s="29"/>
      <c r="W8" s="29" t="s">
        <v>41</v>
      </c>
      <c r="X8" s="29">
        <v>5</v>
      </c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</row>
    <row r="9" spans="1:45" x14ac:dyDescent="0.3">
      <c r="A9" s="7">
        <f>WEEKNUM($B9,21)</f>
        <v>36</v>
      </c>
      <c r="B9" s="8">
        <f>DATE(Masterdata!$B$5,9,1)</f>
        <v>46266</v>
      </c>
      <c r="C9" s="9" t="str" cm="1">
        <f t="array" ref="C9">_xlfn.XLOOKUP(E9,Masterdata!$B$31:$B$44,Masterdata!$A$31:$A$44,_xlfn.SWITCH(WEEKDAY($D9, 2), 1, "mandag", 2, "tirsdag", 3, "onsdag", 4, "torsdag", 5, "fredag", 6, "lørdag", 7, "søndag"),0)</f>
        <v>tirsdag</v>
      </c>
      <c r="D9" s="29">
        <f t="shared" ref="D9:D38" si="0">WEEKDAY($B9, 2)+1</f>
        <v>3</v>
      </c>
      <c r="E9" s="70">
        <f>$B9</f>
        <v>46266</v>
      </c>
      <c r="F9" s="10" t="s">
        <v>23</v>
      </c>
      <c r="G9" s="12">
        <f>IF(OR(AND(F9="N",NOT(OR(C9="mandag",C9="tirsdag",C9="onsdag",C9="torsdag",C9="fredag"))),F9="F"),0,
        IF(OR(
            AND(Masterdata!$B$4&lt;&gt;DATE(1900,1,0), Masterdata!$B$4&lt;$E9),
            AND(Masterdata!$B$3&lt;&gt;DATE(1900,1,0), Masterdata!$B$3&gt;$E9)
        ),
        0, $X$7/(5-H9)))</f>
        <v>0.30833333333333335</v>
      </c>
      <c r="H9" s="86">
        <f>SUMPRODUCT(COUNTIFS(August!$A$9:$A$39,$A9,August!$D$9:$D$39,"&lt;7",August!$F$9:$F$39,"F")+COUNTIFS($A$9:$A$38,$A9,$D$9:$D$38,"&lt;7",$F$9:$F$38,"F")+COUNTIFS(Oktober!$A$9:$A$39,$A9,Oktober!$D$9:$D$39,"&lt;7",Oktober!$F$9:$F$39,"F"))</f>
        <v>0</v>
      </c>
      <c r="I9" s="11">
        <v>0</v>
      </c>
      <c r="J9" s="11">
        <v>0</v>
      </c>
      <c r="K9" s="11">
        <v>0</v>
      </c>
      <c r="L9" s="26" t="str">
        <f t="shared" ref="L9:L15" si="1">IF($F9="F","00:00",
IF($F9="N",TEXT($G9,"[tt]:mm"),
IF($I9&lt;&gt;0,TEXT($I9,"[tt]:mm"),
IF($K9-$J9&gt;=0,
TEXT($K9-$J9,"[tt]:mm"),
"-"&amp;TEXT(ABS($K9-$J9),"[tt]:mm")))))</f>
        <v>07:24</v>
      </c>
      <c r="M9" s="26" t="str">
        <f>IF(OR(F9="N",F9="F"),"0:00",
IF(
OR(
AND(Masterdata!$B$4&lt;&gt;DATE(1900,1,0),Masterdata!$B$4&lt;$E9),
AND(Masterdata!$B$3&lt;&gt;DATE(1900,1,0),Masterdata!$B$3&gt;$E9)
),"0:00",
IF(
$I9&gt;TIME(0,0,0),
IF(
NOT(OR($C9="mandag",$C9="tirsdag",$C9="onsdag",$C9="torsdag",$C9="fredag")),
TEXT($I9,"[tt]:mm"),
IF($I9-$G9&gt;=0,TEXT($I9-$G9,"[tt]:mm"),"-"&amp;TEXT(ABS($I9-$G9),"[tt]:mm"))
),
IF(
NOT(OR($C9="mandag",$C9="tirsdag",$C9="onsdag",$C9="torsdag",$C9="fredag")),
IF($K9-$J9&gt;=0,TEXT($K9-$J9,"[tt]:mm"),"-"&amp;TEXT(ABS($K9-$J9),"[tt]:mm")),
IF(
$K9-$J9-$G9&gt;=0,
TEXT($K9-$J9-$G9,"[tt]:mm"),
"-"&amp;TEXT(ABS($K9-$J9-$G9),"[tt]:mm")
)
)
)
))</f>
        <v>0:00</v>
      </c>
      <c r="N9" s="71" t="str">
        <f>LEFT(M9,1)</f>
        <v>0</v>
      </c>
      <c r="O9" s="25" t="str">
        <f>IF($N9="-",LEFT($M9,3),LEFT($M9,2))</f>
        <v>0:</v>
      </c>
      <c r="P9" s="52" t="str">
        <f>IF($N9="-",MID($M9,5,2),MID($M9,4,2))</f>
        <v>0</v>
      </c>
      <c r="Q9" s="53">
        <f>P9/60</f>
        <v>0</v>
      </c>
      <c r="R9" s="30">
        <f>IF(N9="-",O9-Q9,O9+Q9)</f>
        <v>0</v>
      </c>
      <c r="S9" s="109"/>
      <c r="T9" s="109"/>
      <c r="U9" s="29"/>
      <c r="V9" s="29"/>
      <c r="W9" s="29" t="s">
        <v>42</v>
      </c>
      <c r="X9" s="72">
        <f>$B$1/X8</f>
        <v>7.4</v>
      </c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</row>
    <row r="10" spans="1:45" x14ac:dyDescent="0.3">
      <c r="A10" s="7">
        <f t="shared" ref="A10:A38" si="2">WEEKNUM($B10,21)</f>
        <v>36</v>
      </c>
      <c r="B10" s="8">
        <f>B9+1</f>
        <v>46267</v>
      </c>
      <c r="C10" s="9" t="str" cm="1">
        <f t="array" ref="C10">_xlfn.XLOOKUP(E10,Masterdata!$B$31:$B$44,Masterdata!$A$31:$A$44,_xlfn.SWITCH(WEEKDAY($D10, 2), 1, "mandag", 2, "tirsdag", 3, "onsdag", 4, "torsdag", 5, "fredag", 6, "lørdag", 7, "søndag"),0)</f>
        <v>onsdag</v>
      </c>
      <c r="D10" s="29">
        <f t="shared" si="0"/>
        <v>4</v>
      </c>
      <c r="E10" s="70">
        <f t="shared" ref="E10:E38" si="3">$B10</f>
        <v>46267</v>
      </c>
      <c r="F10" s="10" t="s">
        <v>23</v>
      </c>
      <c r="G10" s="12">
        <f>IF(OR(AND(F10="N",NOT(OR(C10="mandag",C10="tirsdag",C10="onsdag",C10="torsdag",C10="fredag"))),F10="F"),0,
        IF(OR(
            AND(Masterdata!$B$4&lt;&gt;DATE(1900,1,0), Masterdata!$B$4&lt;$E10),
            AND(Masterdata!$B$3&lt;&gt;DATE(1900,1,0), Masterdata!$B$3&gt;$E10)
        ),
        0, $X$7/(5-H10)))</f>
        <v>0.30833333333333335</v>
      </c>
      <c r="H10" s="86">
        <f>SUMPRODUCT(COUNTIFS(August!$A$9:$A$39,$A10,August!$D$9:$D$39,"&lt;7",August!$F$9:$F$39,"F")+COUNTIFS($A$9:$A$38,$A10,$D$9:$D$38,"&lt;7",$F$9:$F$38,"F")+COUNTIFS(Oktober!$A$9:$A$39,$A10,Oktober!$D$9:$D$39,"&lt;7",Oktober!$F$9:$F$39,"F"))</f>
        <v>0</v>
      </c>
      <c r="I10" s="11">
        <v>0</v>
      </c>
      <c r="J10" s="11">
        <v>0</v>
      </c>
      <c r="K10" s="11">
        <v>0</v>
      </c>
      <c r="L10" s="26" t="str">
        <f t="shared" si="1"/>
        <v>07:24</v>
      </c>
      <c r="M10" s="26" t="str">
        <f>IF(OR(F10="N",F10="F"),"0:00",
IF(
OR(
AND(Masterdata!$B$4&lt;&gt;DATE(1900,1,0),Masterdata!$B$4&lt;$E10),
AND(Masterdata!$B$3&lt;&gt;DATE(1900,1,0),Masterdata!$B$3&gt;$E10)
),"0:00",
IF(
$I10&gt;TIME(0,0,0),
IF(
NOT(OR($C10="mandag",$C10="tirsdag",$C10="onsdag",$C10="torsdag",$C10="fredag")),
TEXT($I10,"[tt]:mm"),
IF($I10-$G10&gt;=0,TEXT($I10-$G10,"[tt]:mm"),"-"&amp;TEXT(ABS($I10-$G10),"[tt]:mm"))
),
IF(
NOT(OR($C10="mandag",$C10="tirsdag",$C10="onsdag",$C10="torsdag",$C10="fredag")),
IF($K10-$J10&gt;=0,TEXT($K10-$J10,"[tt]:mm"),"-"&amp;TEXT(ABS($K10-$J10),"[tt]:mm")),
IF(
$K10-$J10-$G10&gt;=0,
TEXT($K10-$J10-$G10,"[tt]:mm"),
"-"&amp;TEXT(ABS($K10-$J10-$G10),"[tt]:mm")
)
)
)
))</f>
        <v>0:00</v>
      </c>
      <c r="N10" s="71" t="str">
        <f t="shared" ref="N10:N20" si="4">LEFT(M10,1)</f>
        <v>0</v>
      </c>
      <c r="O10" s="25" t="str">
        <f t="shared" ref="O10:O38" si="5">IF($N10="-",LEFT($M10,3),LEFT($M10,2))</f>
        <v>0:</v>
      </c>
      <c r="P10" s="52" t="str">
        <f t="shared" ref="P10:P38" si="6">IF($N10="-",MID($M10,5,2),MID($M10,4,2))</f>
        <v>0</v>
      </c>
      <c r="Q10" s="53">
        <f t="shared" ref="Q10:Q14" si="7">P10/60</f>
        <v>0</v>
      </c>
      <c r="R10" s="30">
        <f t="shared" ref="R10:R14" si="8">IF(N10="-",O10-Q10,O10+Q10)</f>
        <v>0</v>
      </c>
      <c r="S10" s="109"/>
      <c r="T10" s="109"/>
      <c r="U10" s="29"/>
      <c r="V10" s="29"/>
      <c r="W10" s="29" t="s">
        <v>43</v>
      </c>
      <c r="X10" s="73">
        <f>X9/24</f>
        <v>0.30833333333333335</v>
      </c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</row>
    <row r="11" spans="1:45" x14ac:dyDescent="0.3">
      <c r="A11" s="7">
        <f t="shared" si="2"/>
        <v>36</v>
      </c>
      <c r="B11" s="8">
        <f t="shared" ref="B11:B38" si="9">B10+1</f>
        <v>46268</v>
      </c>
      <c r="C11" s="9" t="str" cm="1">
        <f t="array" ref="C11">_xlfn.XLOOKUP(E11,Masterdata!$B$31:$B$44,Masterdata!$A$31:$A$44,_xlfn.SWITCH(WEEKDAY($D11, 2), 1, "mandag", 2, "tirsdag", 3, "onsdag", 4, "torsdag", 5, "fredag", 6, "lørdag", 7, "søndag"),0)</f>
        <v>torsdag</v>
      </c>
      <c r="D11" s="29">
        <f t="shared" si="0"/>
        <v>5</v>
      </c>
      <c r="E11" s="70">
        <f t="shared" si="3"/>
        <v>46268</v>
      </c>
      <c r="F11" s="10" t="s">
        <v>23</v>
      </c>
      <c r="G11" s="12">
        <f>IF(OR(AND(F11="N",NOT(OR(C11="mandag",C11="tirsdag",C11="onsdag",C11="torsdag",C11="fredag"))),F11="F"),0,
        IF(OR(
            AND(Masterdata!$B$4&lt;&gt;DATE(1900,1,0), Masterdata!$B$4&lt;$E11),
            AND(Masterdata!$B$3&lt;&gt;DATE(1900,1,0), Masterdata!$B$3&gt;$E11)
        ),
        0, $X$7/(5-H11)))</f>
        <v>0.30833333333333335</v>
      </c>
      <c r="H11" s="86">
        <f>SUMPRODUCT(COUNTIFS(August!$A$9:$A$39,$A11,August!$D$9:$D$39,"&lt;7",August!$F$9:$F$39,"F")+COUNTIFS($A$9:$A$38,$A11,$D$9:$D$38,"&lt;7",$F$9:$F$38,"F")+COUNTIFS(Oktober!$A$9:$A$39,$A11,Oktober!$D$9:$D$39,"&lt;7",Oktober!$F$9:$F$39,"F"))</f>
        <v>0</v>
      </c>
      <c r="I11" s="11">
        <v>0</v>
      </c>
      <c r="J11" s="11">
        <v>0</v>
      </c>
      <c r="K11" s="11">
        <v>0</v>
      </c>
      <c r="L11" s="26" t="str">
        <f t="shared" si="1"/>
        <v>07:24</v>
      </c>
      <c r="M11" s="26" t="str">
        <f>IF(OR(F11="N",F11="F"),"0:00",
IF(
OR(
AND(Masterdata!$B$4&lt;&gt;DATE(1900,1,0),Masterdata!$B$4&lt;$E11),
AND(Masterdata!$B$3&lt;&gt;DATE(1900,1,0),Masterdata!$B$3&gt;$E11)
),"0:00",
IF(
$I11&gt;TIME(0,0,0),
IF(
NOT(OR($C11="mandag",$C11="tirsdag",$C11="onsdag",$C11="torsdag",$C11="fredag")),
TEXT($I11,"[tt]:mm"),
IF($I11-$G11&gt;=0,TEXT($I11-$G11,"[tt]:mm"),"-"&amp;TEXT(ABS($I11-$G11),"[tt]:mm"))
),
IF(
NOT(OR($C11="mandag",$C11="tirsdag",$C11="onsdag",$C11="torsdag",$C11="fredag")),
IF($K11-$J11&gt;=0,TEXT($K11-$J11,"[tt]:mm"),"-"&amp;TEXT(ABS($K11-$J11),"[tt]:mm")),
IF(
$K11-$J11-$G11&gt;=0,
TEXT($K11-$J11-$G11,"[tt]:mm"),
"-"&amp;TEXT(ABS($K11-$J11-$G11),"[tt]:mm")
)
)
)
))</f>
        <v>0:00</v>
      </c>
      <c r="N11" s="71" t="str">
        <f t="shared" si="4"/>
        <v>0</v>
      </c>
      <c r="O11" s="25" t="str">
        <f t="shared" si="5"/>
        <v>0:</v>
      </c>
      <c r="P11" s="52" t="str">
        <f t="shared" si="6"/>
        <v>0</v>
      </c>
      <c r="Q11" s="53">
        <f t="shared" si="7"/>
        <v>0</v>
      </c>
      <c r="R11" s="30">
        <f t="shared" si="8"/>
        <v>0</v>
      </c>
      <c r="S11" s="109"/>
      <c r="T11" s="109"/>
      <c r="U11" s="29" t="s">
        <v>23</v>
      </c>
      <c r="V11" s="29" t="s">
        <v>44</v>
      </c>
      <c r="W11" s="29" t="s">
        <v>45</v>
      </c>
      <c r="X11" s="30">
        <f>(B1/37)*160.33</f>
        <v>160.33000000000001</v>
      </c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</row>
    <row r="12" spans="1:45" x14ac:dyDescent="0.3">
      <c r="A12" s="7">
        <f t="shared" si="2"/>
        <v>36</v>
      </c>
      <c r="B12" s="8">
        <f t="shared" si="9"/>
        <v>46269</v>
      </c>
      <c r="C12" s="9" t="str" cm="1">
        <f t="array" ref="C12">_xlfn.XLOOKUP(E12,Masterdata!$B$31:$B$44,Masterdata!$A$31:$A$44,_xlfn.SWITCH(WEEKDAY($D12, 2), 1, "mandag", 2, "tirsdag", 3, "onsdag", 4, "torsdag", 5, "fredag", 6, "lørdag", 7, "søndag"),0)</f>
        <v>fredag</v>
      </c>
      <c r="D12" s="29">
        <f t="shared" si="0"/>
        <v>6</v>
      </c>
      <c r="E12" s="70">
        <f t="shared" si="3"/>
        <v>46269</v>
      </c>
      <c r="F12" s="10" t="s">
        <v>23</v>
      </c>
      <c r="G12" s="12">
        <f>IF(OR(AND(F12="N",NOT(OR(C12="mandag",C12="tirsdag",C12="onsdag",C12="torsdag",C12="fredag"))),F12="F"),0,
        IF(OR(
            AND(Masterdata!$B$4&lt;&gt;DATE(1900,1,0), Masterdata!$B$4&lt;$E12),
            AND(Masterdata!$B$3&lt;&gt;DATE(1900,1,0), Masterdata!$B$3&gt;$E12)
        ),
        0, $X$7/(5-H12)))</f>
        <v>0.30833333333333335</v>
      </c>
      <c r="H12" s="86">
        <f>SUMPRODUCT(COUNTIFS(August!$A$9:$A$39,$A12,August!$D$9:$D$39,"&lt;7",August!$F$9:$F$39,"F")+COUNTIFS($A$9:$A$38,$A12,$D$9:$D$38,"&lt;7",$F$9:$F$38,"F")+COUNTIFS(Oktober!$A$9:$A$39,$A12,Oktober!$D$9:$D$39,"&lt;7",Oktober!$F$9:$F$39,"F"))</f>
        <v>0</v>
      </c>
      <c r="I12" s="11">
        <v>0</v>
      </c>
      <c r="J12" s="11">
        <v>0</v>
      </c>
      <c r="K12" s="11">
        <v>0</v>
      </c>
      <c r="L12" s="26" t="str">
        <f t="shared" si="1"/>
        <v>07:24</v>
      </c>
      <c r="M12" s="26" t="str">
        <f>IF(OR(F12="N",F12="F"),"0:00",
IF(
OR(
AND(Masterdata!$B$4&lt;&gt;DATE(1900,1,0),Masterdata!$B$4&lt;$E12),
AND(Masterdata!$B$3&lt;&gt;DATE(1900,1,0),Masterdata!$B$3&gt;$E12)
),"0:00",
IF(
$I12&gt;TIME(0,0,0),
IF(
NOT(OR($C12="mandag",$C12="tirsdag",$C12="onsdag",$C12="torsdag",$C12="fredag")),
TEXT($I12,"[tt]:mm"),
IF($I12-$G12&gt;=0,TEXT($I12-$G12,"[tt]:mm"),"-"&amp;TEXT(ABS($I12-$G12),"[tt]:mm"))
),
IF(
NOT(OR($C12="mandag",$C12="tirsdag",$C12="onsdag",$C12="torsdag",$C12="fredag")),
IF($K12-$J12&gt;=0,TEXT($K12-$J12,"[tt]:mm"),"-"&amp;TEXT(ABS($K12-$J12),"[tt]:mm")),
IF(
$K12-$J12-$G12&gt;=0,
TEXT($K12-$J12-$G12,"[tt]:mm"),
"-"&amp;TEXT(ABS($K12-$J12-$G12),"[tt]:mm")
)
)
)
))</f>
        <v>0:00</v>
      </c>
      <c r="N12" s="71" t="str">
        <f t="shared" si="4"/>
        <v>0</v>
      </c>
      <c r="O12" s="25" t="str">
        <f t="shared" si="5"/>
        <v>0:</v>
      </c>
      <c r="P12" s="52" t="str">
        <f t="shared" si="6"/>
        <v>0</v>
      </c>
      <c r="Q12" s="53">
        <f t="shared" si="7"/>
        <v>0</v>
      </c>
      <c r="R12" s="30">
        <f t="shared" si="8"/>
        <v>0</v>
      </c>
      <c r="S12" s="109"/>
      <c r="T12" s="10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</row>
    <row r="13" spans="1:45" x14ac:dyDescent="0.3">
      <c r="A13" s="7">
        <f t="shared" si="2"/>
        <v>36</v>
      </c>
      <c r="B13" s="8">
        <f t="shared" si="9"/>
        <v>46270</v>
      </c>
      <c r="C13" s="9" t="str" cm="1">
        <f t="array" ref="C13">_xlfn.XLOOKUP(E13,Masterdata!$B$31:$B$44,Masterdata!$A$31:$A$44,_xlfn.SWITCH(WEEKDAY($D13, 2), 1, "mandag", 2, "tirsdag", 3, "onsdag", 4, "torsdag", 5, "fredag", 6, "lørdag", 7, "søndag"),0)</f>
        <v>lørdag</v>
      </c>
      <c r="D13" s="29">
        <f t="shared" si="0"/>
        <v>7</v>
      </c>
      <c r="E13" s="70">
        <f t="shared" si="3"/>
        <v>46270</v>
      </c>
      <c r="F13" s="10" t="s">
        <v>23</v>
      </c>
      <c r="G13" s="12">
        <f>IF(OR(AND(F13="N",NOT(OR(C13="mandag",C13="tirsdag",C13="onsdag",C13="torsdag",C13="fredag"))),F13="F"),0,
        IF(OR(
            AND(Masterdata!$B$4&lt;&gt;DATE(1900,1,0), Masterdata!$B$4&lt;$E13),
            AND(Masterdata!$B$3&lt;&gt;DATE(1900,1,0), Masterdata!$B$3&gt;$E13)
        ),
        0, $X$7/(5-H13)))</f>
        <v>0</v>
      </c>
      <c r="H13" s="86">
        <f>SUMPRODUCT(COUNTIFS(August!$A$9:$A$39,$A13,August!$D$9:$D$39,"&lt;7",August!$F$9:$F$39,"F")+COUNTIFS($A$9:$A$38,$A13,$D$9:$D$38,"&lt;7",$F$9:$F$38,"F")+COUNTIFS(Oktober!$A$9:$A$39,$A13,Oktober!$D$9:$D$39,"&lt;7",Oktober!$F$9:$F$39,"F"))</f>
        <v>0</v>
      </c>
      <c r="I13" s="11">
        <v>0</v>
      </c>
      <c r="J13" s="11">
        <v>0</v>
      </c>
      <c r="K13" s="11">
        <v>0</v>
      </c>
      <c r="L13" s="26" t="str">
        <f t="shared" si="1"/>
        <v>00:00</v>
      </c>
      <c r="M13" s="26" t="str">
        <f>IF(OR(F13="N",F13="F"),"0:00",
IF(
OR(
AND(Masterdata!$B$4&lt;&gt;DATE(1900,1,0),Masterdata!$B$4&lt;$E13),
AND(Masterdata!$B$3&lt;&gt;DATE(1900,1,0),Masterdata!$B$3&gt;$E13)
),"0:00",
IF(
$I13&gt;TIME(0,0,0),
IF(
NOT(OR($C13="mandag",$C13="tirsdag",$C13="onsdag",$C13="torsdag",$C13="fredag")),
TEXT($I13,"[tt]:mm"),
IF($I13-$G13&gt;=0,TEXT($I13-$G13,"[tt]:mm"),"-"&amp;TEXT(ABS($I13-$G13),"[tt]:mm"))
),
IF(
NOT(OR($C13="mandag",$C13="tirsdag",$C13="onsdag",$C13="torsdag",$C13="fredag")),
IF($K13-$J13&gt;=0,TEXT($K13-$J13,"[tt]:mm"),"-"&amp;TEXT(ABS($K13-$J13),"[tt]:mm")),
IF(
$K13-$J13-$G13&gt;=0,
TEXT($K13-$J13-$G13,"[tt]:mm"),
"-"&amp;TEXT(ABS($K13-$J13-$G13),"[tt]:mm")
)
)
)
))</f>
        <v>0:00</v>
      </c>
      <c r="N13" s="71" t="str">
        <f t="shared" si="4"/>
        <v>0</v>
      </c>
      <c r="O13" s="25" t="str">
        <f t="shared" si="5"/>
        <v>0:</v>
      </c>
      <c r="P13" s="52" t="str">
        <f t="shared" si="6"/>
        <v>0</v>
      </c>
      <c r="Q13" s="53">
        <f t="shared" si="7"/>
        <v>0</v>
      </c>
      <c r="R13" s="30">
        <f t="shared" si="8"/>
        <v>0</v>
      </c>
      <c r="S13" s="109"/>
      <c r="T13" s="109"/>
      <c r="U13" s="29"/>
      <c r="V13" s="29"/>
      <c r="W13" s="29"/>
      <c r="X13" s="30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</row>
    <row r="14" spans="1:45" x14ac:dyDescent="0.3">
      <c r="A14" s="7">
        <f t="shared" si="2"/>
        <v>36</v>
      </c>
      <c r="B14" s="8">
        <f t="shared" si="9"/>
        <v>46271</v>
      </c>
      <c r="C14" s="9" t="str" cm="1">
        <f t="array" ref="C14">_xlfn.XLOOKUP(E14,Masterdata!$B$31:$B$44,Masterdata!$A$31:$A$44,_xlfn.SWITCH(WEEKDAY($D14, 2), 1, "mandag", 2, "tirsdag", 3, "onsdag", 4, "torsdag", 5, "fredag", 6, "lørdag", 7, "søndag"),0)</f>
        <v>søndag</v>
      </c>
      <c r="D14" s="29">
        <f t="shared" si="0"/>
        <v>8</v>
      </c>
      <c r="E14" s="70">
        <f t="shared" si="3"/>
        <v>46271</v>
      </c>
      <c r="F14" s="10" t="s">
        <v>23</v>
      </c>
      <c r="G14" s="12">
        <f>IF(OR(AND(F14="N",NOT(OR(C14="mandag",C14="tirsdag",C14="onsdag",C14="torsdag",C14="fredag"))),F14="F"),0,
        IF(OR(
            AND(Masterdata!$B$4&lt;&gt;DATE(1900,1,0), Masterdata!$B$4&lt;$E14),
            AND(Masterdata!$B$3&lt;&gt;DATE(1900,1,0), Masterdata!$B$3&gt;$E14)
        ),
        0, $X$7/(5-H14)))</f>
        <v>0</v>
      </c>
      <c r="H14" s="86">
        <f>SUMPRODUCT(COUNTIFS(August!$A$9:$A$39,$A14,August!$D$9:$D$39,"&lt;7",August!$F$9:$F$39,"F")+COUNTIFS($A$9:$A$38,$A14,$D$9:$D$38,"&lt;7",$F$9:$F$38,"F")+COUNTIFS(Oktober!$A$9:$A$39,$A14,Oktober!$D$9:$D$39,"&lt;7",Oktober!$F$9:$F$39,"F"))</f>
        <v>0</v>
      </c>
      <c r="I14" s="11">
        <v>0</v>
      </c>
      <c r="J14" s="11">
        <v>0</v>
      </c>
      <c r="K14" s="11">
        <v>0</v>
      </c>
      <c r="L14" s="26" t="str">
        <f t="shared" si="1"/>
        <v>00:00</v>
      </c>
      <c r="M14" s="26" t="str">
        <f>IF(OR(F14="N",F14="F"),"0:00",
IF(
OR(
AND(Masterdata!$B$4&lt;&gt;DATE(1900,1,0),Masterdata!$B$4&lt;$E14),
AND(Masterdata!$B$3&lt;&gt;DATE(1900,1,0),Masterdata!$B$3&gt;$E14)
),"0:00",
IF(
$I14&gt;TIME(0,0,0),
IF(
NOT(OR($C14="mandag",$C14="tirsdag",$C14="onsdag",$C14="torsdag",$C14="fredag")),
TEXT($I14,"[tt]:mm"),
IF($I14-$G14&gt;=0,TEXT($I14-$G14,"[tt]:mm"),"-"&amp;TEXT(ABS($I14-$G14),"[tt]:mm"))
),
IF(
NOT(OR($C14="mandag",$C14="tirsdag",$C14="onsdag",$C14="torsdag",$C14="fredag")),
IF($K14-$J14&gt;=0,TEXT($K14-$J14,"[tt]:mm"),"-"&amp;TEXT(ABS($K14-$J14),"[tt]:mm")),
IF(
$K14-$J14-$G14&gt;=0,
TEXT($K14-$J14-$G14,"[tt]:mm"),
"-"&amp;TEXT(ABS($K14-$J14-$G14),"[tt]:mm")
)
)
)
))</f>
        <v>0:00</v>
      </c>
      <c r="N14" s="71" t="str">
        <f t="shared" si="4"/>
        <v>0</v>
      </c>
      <c r="O14" s="25" t="str">
        <f t="shared" si="5"/>
        <v>0:</v>
      </c>
      <c r="P14" s="52" t="str">
        <f t="shared" si="6"/>
        <v>0</v>
      </c>
      <c r="Q14" s="53">
        <f t="shared" si="7"/>
        <v>0</v>
      </c>
      <c r="R14" s="30">
        <f t="shared" si="8"/>
        <v>0</v>
      </c>
      <c r="S14" s="98"/>
      <c r="T14" s="98"/>
      <c r="U14" s="29"/>
      <c r="V14" s="29"/>
      <c r="W14" s="29"/>
      <c r="X14" s="74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</row>
    <row r="15" spans="1:45" x14ac:dyDescent="0.3">
      <c r="A15" s="7">
        <f t="shared" si="2"/>
        <v>37</v>
      </c>
      <c r="B15" s="8">
        <f t="shared" si="9"/>
        <v>46272</v>
      </c>
      <c r="C15" s="9" t="str" cm="1">
        <f t="array" ref="C15">_xlfn.XLOOKUP(E15,Masterdata!$B$31:$B$44,Masterdata!$A$31:$A$44,_xlfn.SWITCH(WEEKDAY($D15, 2), 1, "mandag", 2, "tirsdag", 3, "onsdag", 4, "torsdag", 5, "fredag", 6, "lørdag", 7, "søndag"),0)</f>
        <v>mandag</v>
      </c>
      <c r="D15" s="29">
        <f t="shared" si="0"/>
        <v>2</v>
      </c>
      <c r="E15" s="70">
        <f t="shared" si="3"/>
        <v>46272</v>
      </c>
      <c r="F15" s="10" t="s">
        <v>23</v>
      </c>
      <c r="G15" s="12">
        <f>IF(OR(AND(F15="N",NOT(OR(C15="mandag",C15="tirsdag",C15="onsdag",C15="torsdag",C15="fredag"))),F15="F"),0,
        IF(OR(
            AND(Masterdata!$B$4&lt;&gt;DATE(1900,1,0), Masterdata!$B$4&lt;$E15),
            AND(Masterdata!$B$3&lt;&gt;DATE(1900,1,0), Masterdata!$B$3&gt;$E15)
        ),
        0, $X$7/(5-H15)))</f>
        <v>0.30833333333333335</v>
      </c>
      <c r="H15" s="86">
        <f>SUMPRODUCT(COUNTIFS(August!$A$9:$A$39,$A15,August!$D$9:$D$39,"&lt;7",August!$F$9:$F$39,"F")+COUNTIFS($A$9:$A$38,$A15,$D$9:$D$38,"&lt;7",$F$9:$F$38,"F")+COUNTIFS(Oktober!$A$9:$A$39,$A15,Oktober!$D$9:$D$39,"&lt;7",Oktober!$F$9:$F$39,"F"))</f>
        <v>0</v>
      </c>
      <c r="I15" s="11">
        <v>0</v>
      </c>
      <c r="J15" s="11">
        <v>0</v>
      </c>
      <c r="K15" s="11">
        <v>0</v>
      </c>
      <c r="L15" s="26" t="str">
        <f t="shared" si="1"/>
        <v>07:24</v>
      </c>
      <c r="M15" s="26" t="str">
        <f>IF(OR(F15="N",F15="F"),"0:00",
IF(
OR(
AND(Masterdata!$B$4&lt;&gt;DATE(1900,1,0),Masterdata!$B$4&lt;$E15),
AND(Masterdata!$B$3&lt;&gt;DATE(1900,1,0),Masterdata!$B$3&gt;$E15)
),"0:00",
IF(
$I15&gt;TIME(0,0,0),
IF(
NOT(OR($C15="mandag",$C15="tirsdag",$C15="onsdag",$C15="torsdag",$C15="fredag")),
TEXT($I15,"[tt]:mm"),
IF($I15-$G15&gt;=0,TEXT($I15-$G15,"[tt]:mm"),"-"&amp;TEXT(ABS($I15-$G15),"[tt]:mm"))
),
IF(
NOT(OR($C15="mandag",$C15="tirsdag",$C15="onsdag",$C15="torsdag",$C15="fredag")),
IF($K15-$J15&gt;=0,TEXT($K15-$J15,"[tt]:mm"),"-"&amp;TEXT(ABS($K15-$J15),"[tt]:mm")),
IF(
$K15-$J15-$G15&gt;=0,
TEXT($K15-$J15-$G15,"[tt]:mm"),
"-"&amp;TEXT(ABS($K15-$J15-$G15),"[tt]:mm")
)
)
)
))</f>
        <v>0:00</v>
      </c>
      <c r="N15" s="71" t="str">
        <f t="shared" si="4"/>
        <v>0</v>
      </c>
      <c r="O15" s="25" t="str">
        <f t="shared" si="5"/>
        <v>0:</v>
      </c>
      <c r="P15" s="52" t="str">
        <f t="shared" si="6"/>
        <v>0</v>
      </c>
      <c r="Q15" s="53">
        <f>P15/60</f>
        <v>0</v>
      </c>
      <c r="R15" s="30">
        <f>IF(N15="-",O15-Q15,O15+Q15)</f>
        <v>0</v>
      </c>
      <c r="S15" s="98"/>
      <c r="T15" s="98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</row>
    <row r="16" spans="1:45" x14ac:dyDescent="0.3">
      <c r="A16" s="7">
        <f t="shared" si="2"/>
        <v>37</v>
      </c>
      <c r="B16" s="8">
        <f t="shared" si="9"/>
        <v>46273</v>
      </c>
      <c r="C16" s="9" t="str" cm="1">
        <f t="array" ref="C16">_xlfn.XLOOKUP(E16,Masterdata!$B$31:$B$44,Masterdata!$A$31:$A$44,_xlfn.SWITCH(WEEKDAY($D16, 2), 1, "mandag", 2, "tirsdag", 3, "onsdag", 4, "torsdag", 5, "fredag", 6, "lørdag", 7, "søndag"),0)</f>
        <v>tirsdag</v>
      </c>
      <c r="D16" s="29">
        <f t="shared" si="0"/>
        <v>3</v>
      </c>
      <c r="E16" s="70">
        <f t="shared" si="3"/>
        <v>46273</v>
      </c>
      <c r="F16" s="10" t="s">
        <v>23</v>
      </c>
      <c r="G16" s="12">
        <f>IF(OR(AND(F16="N",NOT(OR(C16="mandag",C16="tirsdag",C16="onsdag",C16="torsdag",C16="fredag"))),F16="F"),0,
        IF(OR(
            AND(Masterdata!$B$4&lt;&gt;DATE(1900,1,0), Masterdata!$B$4&lt;$E16),
            AND(Masterdata!$B$3&lt;&gt;DATE(1900,1,0), Masterdata!$B$3&gt;$E16)
        ),
        0, $X$7/(5-H16)))</f>
        <v>0.30833333333333335</v>
      </c>
      <c r="H16" s="86">
        <f>SUMPRODUCT(COUNTIFS(August!$A$9:$A$39,$A16,August!$D$9:$D$39,"&lt;7",August!$F$9:$F$39,"F")+COUNTIFS($A$9:$A$38,$A16,$D$9:$D$38,"&lt;7",$F$9:$F$38,"F")+COUNTIFS(Oktober!$A$9:$A$39,$A16,Oktober!$D$9:$D$39,"&lt;7",Oktober!$F$9:$F$39,"F"))</f>
        <v>0</v>
      </c>
      <c r="I16" s="11">
        <v>0</v>
      </c>
      <c r="J16" s="11">
        <v>0</v>
      </c>
      <c r="K16" s="11">
        <v>0</v>
      </c>
      <c r="L16" s="26" t="str">
        <f>IF($F16="F","00:00",
IF($F16="N",TEXT($G16,"[tt]:mm"),
IF($I16&lt;&gt;0,TEXT($I16,"[tt]:mm"),
IF($K16-$J16&gt;=0,
TEXT($K16-$J16,"[tt]:mm"),
"-"&amp;TEXT(ABS($K16-$J16),"[tt]:mm")))))</f>
        <v>07:24</v>
      </c>
      <c r="M16" s="26" t="str">
        <f>IF(OR(F16="N",F16="F"),"0:00",
IF(
OR(
AND(Masterdata!$B$4&lt;&gt;DATE(1900,1,0),Masterdata!$B$4&lt;$E16),
AND(Masterdata!$B$3&lt;&gt;DATE(1900,1,0),Masterdata!$B$3&gt;$E16)
),"0:00",
IF(
$I16&gt;TIME(0,0,0),
IF(
NOT(OR($C16="mandag",$C16="tirsdag",$C16="onsdag",$C16="torsdag",$C16="fredag")),
TEXT($I16,"[tt]:mm"),
IF($I16-$G16&gt;=0,TEXT($I16-$G16,"[tt]:mm"),"-"&amp;TEXT(ABS($I16-$G16),"[tt]:mm"))
),
IF(
NOT(OR($C16="mandag",$C16="tirsdag",$C16="onsdag",$C16="torsdag",$C16="fredag")),
IF($K16-$J16&gt;=0,TEXT($K16-$J16,"[tt]:mm"),"-"&amp;TEXT(ABS($K16-$J16),"[tt]:mm")),
IF(
$K16-$J16-$G16&gt;=0,
TEXT($K16-$J16-$G16,"[tt]:mm"),
"-"&amp;TEXT(ABS($K16-$J16-$G16),"[tt]:mm")
)
)
)
))</f>
        <v>0:00</v>
      </c>
      <c r="N16" s="71" t="str">
        <f t="shared" si="4"/>
        <v>0</v>
      </c>
      <c r="O16" s="25" t="str">
        <f t="shared" si="5"/>
        <v>0:</v>
      </c>
      <c r="P16" s="52" t="str">
        <f t="shared" si="6"/>
        <v>0</v>
      </c>
      <c r="Q16" s="53">
        <f t="shared" ref="Q16:Q38" si="10">P16/60</f>
        <v>0</v>
      </c>
      <c r="R16" s="30">
        <f t="shared" ref="R16:R20" si="11">IF(N16="-",O16-Q16,O16+Q16)</f>
        <v>0</v>
      </c>
      <c r="S16" s="98"/>
      <c r="T16" s="98"/>
      <c r="U16" s="29" t="s">
        <v>46</v>
      </c>
      <c r="V16" s="29" t="s">
        <v>47</v>
      </c>
      <c r="W16" s="29" t="s">
        <v>48</v>
      </c>
      <c r="X16" s="30">
        <f>X11-X14</f>
        <v>160.33000000000001</v>
      </c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</row>
    <row r="17" spans="1:45" x14ac:dyDescent="0.3">
      <c r="A17" s="7">
        <f t="shared" si="2"/>
        <v>37</v>
      </c>
      <c r="B17" s="8">
        <f t="shared" si="9"/>
        <v>46274</v>
      </c>
      <c r="C17" s="9" t="str" cm="1">
        <f t="array" ref="C17">_xlfn.XLOOKUP(E17,Masterdata!$B$31:$B$44,Masterdata!$A$31:$A$44,_xlfn.SWITCH(WEEKDAY($D17, 2), 1, "mandag", 2, "tirsdag", 3, "onsdag", 4, "torsdag", 5, "fredag", 6, "lørdag", 7, "søndag"),0)</f>
        <v>onsdag</v>
      </c>
      <c r="D17" s="29">
        <f t="shared" si="0"/>
        <v>4</v>
      </c>
      <c r="E17" s="70">
        <f t="shared" si="3"/>
        <v>46274</v>
      </c>
      <c r="F17" s="10" t="s">
        <v>23</v>
      </c>
      <c r="G17" s="12">
        <f>IF(OR(AND(F17="N",NOT(OR(C17="mandag",C17="tirsdag",C17="onsdag",C17="torsdag",C17="fredag"))),F17="F"),0,
        IF(OR(
            AND(Masterdata!$B$4&lt;&gt;DATE(1900,1,0), Masterdata!$B$4&lt;$E17),
            AND(Masterdata!$B$3&lt;&gt;DATE(1900,1,0), Masterdata!$B$3&gt;$E17)
        ),
        0, $X$7/(5-H17)))</f>
        <v>0.30833333333333335</v>
      </c>
      <c r="H17" s="86">
        <f>SUMPRODUCT(COUNTIFS(August!$A$9:$A$39,$A17,August!$D$9:$D$39,"&lt;7",August!$F$9:$F$39,"F")+COUNTIFS($A$9:$A$38,$A17,$D$9:$D$38,"&lt;7",$F$9:$F$38,"F")+COUNTIFS(Oktober!$A$9:$A$39,$A17,Oktober!$D$9:$D$39,"&lt;7",Oktober!$F$9:$F$39,"F"))</f>
        <v>0</v>
      </c>
      <c r="I17" s="11">
        <v>0</v>
      </c>
      <c r="J17" s="11">
        <v>0</v>
      </c>
      <c r="K17" s="11">
        <v>0</v>
      </c>
      <c r="L17" s="26" t="str">
        <f t="shared" ref="L17:L38" si="12">IF($F17="F","00:00",
IF($F17="N",TEXT($G17,"[tt]:mm"),
IF($I17&lt;&gt;0,TEXT($I17,"[tt]:mm"),
IF($K17-$J17&gt;=0,
TEXT($K17-$J17,"[tt]:mm"),
"-"&amp;TEXT(ABS($K17-$J17),"[tt]:mm")))))</f>
        <v>07:24</v>
      </c>
      <c r="M17" s="26" t="str">
        <f>IF(OR(F17="N",F17="F"),"0:00",
IF(
OR(
AND(Masterdata!$B$4&lt;&gt;DATE(1900,1,0),Masterdata!$B$4&lt;$E17),
AND(Masterdata!$B$3&lt;&gt;DATE(1900,1,0),Masterdata!$B$3&gt;$E17)
),"0:00",
IF(
$I17&gt;TIME(0,0,0),
IF(
NOT(OR($C17="mandag",$C17="tirsdag",$C17="onsdag",$C17="torsdag",$C17="fredag")),
TEXT($I17,"[tt]:mm"),
IF($I17-$G17&gt;=0,TEXT($I17-$G17,"[tt]:mm"),"-"&amp;TEXT(ABS($I17-$G17),"[tt]:mm"))
),
IF(
NOT(OR($C17="mandag",$C17="tirsdag",$C17="onsdag",$C17="torsdag",$C17="fredag")),
IF($K17-$J17&gt;=0,TEXT($K17-$J17,"[tt]:mm"),"-"&amp;TEXT(ABS($K17-$J17),"[tt]:mm")),
IF(
$K17-$J17-$G17&gt;=0,
TEXT($K17-$J17-$G17,"[tt]:mm"),
"-"&amp;TEXT(ABS($K17-$J17-$G17),"[tt]:mm")
)
)
)
))</f>
        <v>0:00</v>
      </c>
      <c r="N17" s="71" t="str">
        <f t="shared" si="4"/>
        <v>0</v>
      </c>
      <c r="O17" s="25" t="str">
        <f t="shared" si="5"/>
        <v>0:</v>
      </c>
      <c r="P17" s="52" t="str">
        <f t="shared" si="6"/>
        <v>0</v>
      </c>
      <c r="Q17" s="53">
        <f t="shared" si="10"/>
        <v>0</v>
      </c>
      <c r="R17" s="30">
        <f t="shared" si="11"/>
        <v>0</v>
      </c>
      <c r="S17" s="98"/>
      <c r="T17" s="98"/>
      <c r="U17" s="29" t="s">
        <v>49</v>
      </c>
      <c r="V17" s="29" t="s">
        <v>50</v>
      </c>
      <c r="W17" s="29" t="s">
        <v>51</v>
      </c>
      <c r="X17" s="30" t="e">
        <f>SUM(#REF!)</f>
        <v>#REF!</v>
      </c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</row>
    <row r="18" spans="1:45" x14ac:dyDescent="0.3">
      <c r="A18" s="7">
        <f t="shared" si="2"/>
        <v>37</v>
      </c>
      <c r="B18" s="8">
        <f t="shared" si="9"/>
        <v>46275</v>
      </c>
      <c r="C18" s="9" t="str" cm="1">
        <f t="array" ref="C18">_xlfn.XLOOKUP(E18,Masterdata!$B$31:$B$44,Masterdata!$A$31:$A$44,_xlfn.SWITCH(WEEKDAY($D18, 2), 1, "mandag", 2, "tirsdag", 3, "onsdag", 4, "torsdag", 5, "fredag", 6, "lørdag", 7, "søndag"),0)</f>
        <v>torsdag</v>
      </c>
      <c r="D18" s="29">
        <f t="shared" si="0"/>
        <v>5</v>
      </c>
      <c r="E18" s="70">
        <f t="shared" si="3"/>
        <v>46275</v>
      </c>
      <c r="F18" s="10" t="s">
        <v>23</v>
      </c>
      <c r="G18" s="12">
        <f>IF(OR(AND(F18="N",NOT(OR(C18="mandag",C18="tirsdag",C18="onsdag",C18="torsdag",C18="fredag"))),F18="F"),0,
        IF(OR(
            AND(Masterdata!$B$4&lt;&gt;DATE(1900,1,0), Masterdata!$B$4&lt;$E18),
            AND(Masterdata!$B$3&lt;&gt;DATE(1900,1,0), Masterdata!$B$3&gt;$E18)
        ),
        0, $X$7/(5-H18)))</f>
        <v>0.30833333333333335</v>
      </c>
      <c r="H18" s="86">
        <f>SUMPRODUCT(COUNTIFS(August!$A$9:$A$39,$A18,August!$D$9:$D$39,"&lt;7",August!$F$9:$F$39,"F")+COUNTIFS($A$9:$A$38,$A18,$D$9:$D$38,"&lt;7",$F$9:$F$38,"F")+COUNTIFS(Oktober!$A$9:$A$39,$A18,Oktober!$D$9:$D$39,"&lt;7",Oktober!$F$9:$F$39,"F"))</f>
        <v>0</v>
      </c>
      <c r="I18" s="11">
        <v>0</v>
      </c>
      <c r="J18" s="11">
        <v>0</v>
      </c>
      <c r="K18" s="11">
        <v>0</v>
      </c>
      <c r="L18" s="26" t="str">
        <f t="shared" si="12"/>
        <v>07:24</v>
      </c>
      <c r="M18" s="26" t="str">
        <f>IF(OR(F18="N",F18="F"),"0:00",
IF(
OR(
AND(Masterdata!$B$4&lt;&gt;DATE(1900,1,0),Masterdata!$B$4&lt;$E18),
AND(Masterdata!$B$3&lt;&gt;DATE(1900,1,0),Masterdata!$B$3&gt;$E18)
),"0:00",
IF(
$I18&gt;TIME(0,0,0),
IF(
NOT(OR($C18="mandag",$C18="tirsdag",$C18="onsdag",$C18="torsdag",$C18="fredag")),
TEXT($I18,"[tt]:mm"),
IF($I18-$G18&gt;=0,TEXT($I18-$G18,"[tt]:mm"),"-"&amp;TEXT(ABS($I18-$G18),"[tt]:mm"))
),
IF(
NOT(OR($C18="mandag",$C18="tirsdag",$C18="onsdag",$C18="torsdag",$C18="fredag")),
IF($K18-$J18&gt;=0,TEXT($K18-$J18,"[tt]:mm"),"-"&amp;TEXT(ABS($K18-$J18),"[tt]:mm")),
IF(
$K18-$J18-$G18&gt;=0,
TEXT($K18-$J18-$G18,"[tt]:mm"),
"-"&amp;TEXT(ABS($K18-$J18-$G18),"[tt]:mm")
)
)
)
))</f>
        <v>0:00</v>
      </c>
      <c r="N18" s="71" t="str">
        <f t="shared" si="4"/>
        <v>0</v>
      </c>
      <c r="O18" s="25" t="str">
        <f t="shared" si="5"/>
        <v>0:</v>
      </c>
      <c r="P18" s="52" t="str">
        <f t="shared" si="6"/>
        <v>0</v>
      </c>
      <c r="Q18" s="53">
        <f t="shared" si="10"/>
        <v>0</v>
      </c>
      <c r="R18" s="30">
        <f t="shared" si="11"/>
        <v>0</v>
      </c>
      <c r="S18" s="98"/>
      <c r="T18" s="98"/>
      <c r="U18" s="29" t="s">
        <v>25</v>
      </c>
      <c r="V18" s="29" t="s">
        <v>52</v>
      </c>
      <c r="W18" s="29" t="s">
        <v>53</v>
      </c>
      <c r="X18" s="30" t="e">
        <f>X16-X17</f>
        <v>#REF!</v>
      </c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</row>
    <row r="19" spans="1:45" x14ac:dyDescent="0.3">
      <c r="A19" s="7">
        <f t="shared" si="2"/>
        <v>37</v>
      </c>
      <c r="B19" s="8">
        <f t="shared" si="9"/>
        <v>46276</v>
      </c>
      <c r="C19" s="9" t="str" cm="1">
        <f t="array" ref="C19">_xlfn.XLOOKUP(E19,Masterdata!$B$31:$B$44,Masterdata!$A$31:$A$44,_xlfn.SWITCH(WEEKDAY($D19, 2), 1, "mandag", 2, "tirsdag", 3, "onsdag", 4, "torsdag", 5, "fredag", 6, "lørdag", 7, "søndag"),0)</f>
        <v>fredag</v>
      </c>
      <c r="D19" s="29">
        <f t="shared" si="0"/>
        <v>6</v>
      </c>
      <c r="E19" s="70">
        <f t="shared" si="3"/>
        <v>46276</v>
      </c>
      <c r="F19" s="10" t="s">
        <v>23</v>
      </c>
      <c r="G19" s="12">
        <f>IF(OR(AND(F19="N",NOT(OR(C19="mandag",C19="tirsdag",C19="onsdag",C19="torsdag",C19="fredag"))),F19="F"),0,
        IF(OR(
            AND(Masterdata!$B$4&lt;&gt;DATE(1900,1,0), Masterdata!$B$4&lt;$E19),
            AND(Masterdata!$B$3&lt;&gt;DATE(1900,1,0), Masterdata!$B$3&gt;$E19)
        ),
        0, $X$7/(5-H19)))</f>
        <v>0.30833333333333335</v>
      </c>
      <c r="H19" s="86">
        <f>SUMPRODUCT(COUNTIFS(August!$A$9:$A$39,$A19,August!$D$9:$D$39,"&lt;7",August!$F$9:$F$39,"F")+COUNTIFS($A$9:$A$38,$A19,$D$9:$D$38,"&lt;7",$F$9:$F$38,"F")+COUNTIFS(Oktober!$A$9:$A$39,$A19,Oktober!$D$9:$D$39,"&lt;7",Oktober!$F$9:$F$39,"F"))</f>
        <v>0</v>
      </c>
      <c r="I19" s="11">
        <v>0</v>
      </c>
      <c r="J19" s="11">
        <v>0</v>
      </c>
      <c r="K19" s="11">
        <v>0</v>
      </c>
      <c r="L19" s="26" t="str">
        <f t="shared" si="12"/>
        <v>07:24</v>
      </c>
      <c r="M19" s="26" t="str">
        <f>IF(OR(F19="N",F19="F"),"0:00",
IF(
OR(
AND(Masterdata!$B$4&lt;&gt;DATE(1900,1,0),Masterdata!$B$4&lt;$E19),
AND(Masterdata!$B$3&lt;&gt;DATE(1900,1,0),Masterdata!$B$3&gt;$E19)
),"0:00",
IF(
$I19&gt;TIME(0,0,0),
IF(
NOT(OR($C19="mandag",$C19="tirsdag",$C19="onsdag",$C19="torsdag",$C19="fredag")),
TEXT($I19,"[tt]:mm"),
IF($I19-$G19&gt;=0,TEXT($I19-$G19,"[tt]:mm"),"-"&amp;TEXT(ABS($I19-$G19),"[tt]:mm"))
),
IF(
NOT(OR($C19="mandag",$C19="tirsdag",$C19="onsdag",$C19="torsdag",$C19="fredag")),
IF($K19-$J19&gt;=0,TEXT($K19-$J19,"[tt]:mm"),"-"&amp;TEXT(ABS($K19-$J19),"[tt]:mm")),
IF(
$K19-$J19-$G19&gt;=0,
TEXT($K19-$J19-$G19,"[tt]:mm"),
"-"&amp;TEXT(ABS($K19-$J19-$G19),"[tt]:mm")
)
)
)
))</f>
        <v>0:00</v>
      </c>
      <c r="N19" s="71" t="str">
        <f t="shared" si="4"/>
        <v>0</v>
      </c>
      <c r="O19" s="25" t="str">
        <f t="shared" si="5"/>
        <v>0:</v>
      </c>
      <c r="P19" s="52" t="str">
        <f t="shared" si="6"/>
        <v>0</v>
      </c>
      <c r="Q19" s="53">
        <f t="shared" si="10"/>
        <v>0</v>
      </c>
      <c r="R19" s="30">
        <f t="shared" si="11"/>
        <v>0</v>
      </c>
      <c r="S19" s="98"/>
      <c r="T19" s="98"/>
      <c r="U19" s="29"/>
      <c r="V19" s="29"/>
      <c r="W19" s="70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</row>
    <row r="20" spans="1:45" x14ac:dyDescent="0.3">
      <c r="A20" s="7">
        <f t="shared" si="2"/>
        <v>37</v>
      </c>
      <c r="B20" s="8">
        <f t="shared" si="9"/>
        <v>46277</v>
      </c>
      <c r="C20" s="9" t="str" cm="1">
        <f t="array" ref="C20">_xlfn.XLOOKUP(E20,Masterdata!$B$31:$B$44,Masterdata!$A$31:$A$44,_xlfn.SWITCH(WEEKDAY($D20, 2), 1, "mandag", 2, "tirsdag", 3, "onsdag", 4, "torsdag", 5, "fredag", 6, "lørdag", 7, "søndag"),0)</f>
        <v>lørdag</v>
      </c>
      <c r="D20" s="29">
        <f t="shared" si="0"/>
        <v>7</v>
      </c>
      <c r="E20" s="70">
        <f t="shared" si="3"/>
        <v>46277</v>
      </c>
      <c r="F20" s="10" t="s">
        <v>23</v>
      </c>
      <c r="G20" s="12">
        <f>IF(OR(AND(F20="N",NOT(OR(C20="mandag",C20="tirsdag",C20="onsdag",C20="torsdag",C20="fredag"))),F20="F"),0,
        IF(OR(
            AND(Masterdata!$B$4&lt;&gt;DATE(1900,1,0), Masterdata!$B$4&lt;$E20),
            AND(Masterdata!$B$3&lt;&gt;DATE(1900,1,0), Masterdata!$B$3&gt;$E20)
        ),
        0, $X$7/(5-H20)))</f>
        <v>0</v>
      </c>
      <c r="H20" s="86">
        <f>SUMPRODUCT(COUNTIFS(August!$A$9:$A$39,$A20,August!$D$9:$D$39,"&lt;7",August!$F$9:$F$39,"F")+COUNTIFS($A$9:$A$38,$A20,$D$9:$D$38,"&lt;7",$F$9:$F$38,"F")+COUNTIFS(Oktober!$A$9:$A$39,$A20,Oktober!$D$9:$D$39,"&lt;7",Oktober!$F$9:$F$39,"F"))</f>
        <v>0</v>
      </c>
      <c r="I20" s="11">
        <v>0</v>
      </c>
      <c r="J20" s="11">
        <v>0</v>
      </c>
      <c r="K20" s="11">
        <v>0</v>
      </c>
      <c r="L20" s="26" t="str">
        <f t="shared" si="12"/>
        <v>00:00</v>
      </c>
      <c r="M20" s="26" t="str">
        <f>IF(OR(F20="N",F20="F"),"0:00",
IF(
OR(
AND(Masterdata!$B$4&lt;&gt;DATE(1900,1,0),Masterdata!$B$4&lt;$E20),
AND(Masterdata!$B$3&lt;&gt;DATE(1900,1,0),Masterdata!$B$3&gt;$E20)
),"0:00",
IF(
$I20&gt;TIME(0,0,0),
IF(
NOT(OR($C20="mandag",$C20="tirsdag",$C20="onsdag",$C20="torsdag",$C20="fredag")),
TEXT($I20,"[tt]:mm"),
IF($I20-$G20&gt;=0,TEXT($I20-$G20,"[tt]:mm"),"-"&amp;TEXT(ABS($I20-$G20),"[tt]:mm"))
),
IF(
NOT(OR($C20="mandag",$C20="tirsdag",$C20="onsdag",$C20="torsdag",$C20="fredag")),
IF($K20-$J20&gt;=0,TEXT($K20-$J20,"[tt]:mm"),"-"&amp;TEXT(ABS($K20-$J20),"[tt]:mm")),
IF(
$K20-$J20-$G20&gt;=0,
TEXT($K20-$J20-$G20,"[tt]:mm"),
"-"&amp;TEXT(ABS($K20-$J20-$G20),"[tt]:mm")
)
)
)
))</f>
        <v>0:00</v>
      </c>
      <c r="N20" s="71" t="str">
        <f t="shared" si="4"/>
        <v>0</v>
      </c>
      <c r="O20" s="25" t="str">
        <f t="shared" si="5"/>
        <v>0:</v>
      </c>
      <c r="P20" s="52" t="str">
        <f t="shared" si="6"/>
        <v>0</v>
      </c>
      <c r="Q20" s="53">
        <f t="shared" si="10"/>
        <v>0</v>
      </c>
      <c r="R20" s="30">
        <f t="shared" si="11"/>
        <v>0</v>
      </c>
      <c r="S20" s="98"/>
      <c r="T20" s="98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</row>
    <row r="21" spans="1:45" x14ac:dyDescent="0.3">
      <c r="A21" s="7">
        <f t="shared" si="2"/>
        <v>37</v>
      </c>
      <c r="B21" s="8">
        <f t="shared" si="9"/>
        <v>46278</v>
      </c>
      <c r="C21" s="9" t="str" cm="1">
        <f t="array" ref="C21">_xlfn.XLOOKUP(E21,Masterdata!$B$31:$B$44,Masterdata!$A$31:$A$44,_xlfn.SWITCH(WEEKDAY($D21, 2), 1, "mandag", 2, "tirsdag", 3, "onsdag", 4, "torsdag", 5, "fredag", 6, "lørdag", 7, "søndag"),0)</f>
        <v>søndag</v>
      </c>
      <c r="D21" s="29">
        <f t="shared" si="0"/>
        <v>8</v>
      </c>
      <c r="E21" s="70">
        <f t="shared" si="3"/>
        <v>46278</v>
      </c>
      <c r="F21" s="10" t="s">
        <v>23</v>
      </c>
      <c r="G21" s="12">
        <f>IF(OR(AND(F21="N",NOT(OR(C21="mandag",C21="tirsdag",C21="onsdag",C21="torsdag",C21="fredag"))),F21="F"),0,
        IF(OR(
            AND(Masterdata!$B$4&lt;&gt;DATE(1900,1,0), Masterdata!$B$4&lt;$E21),
            AND(Masterdata!$B$3&lt;&gt;DATE(1900,1,0), Masterdata!$B$3&gt;$E21)
        ),
        0, $X$7/(5-H21)))</f>
        <v>0</v>
      </c>
      <c r="H21" s="86">
        <f>SUMPRODUCT(COUNTIFS(August!$A$9:$A$39,$A21,August!$D$9:$D$39,"&lt;7",August!$F$9:$F$39,"F")+COUNTIFS($A$9:$A$38,$A21,$D$9:$D$38,"&lt;7",$F$9:$F$38,"F")+COUNTIFS(Oktober!$A$9:$A$39,$A21,Oktober!$D$9:$D$39,"&lt;7",Oktober!$F$9:$F$39,"F"))</f>
        <v>0</v>
      </c>
      <c r="I21" s="11">
        <v>0</v>
      </c>
      <c r="J21" s="11">
        <v>0</v>
      </c>
      <c r="K21" s="11">
        <v>0</v>
      </c>
      <c r="L21" s="26" t="str">
        <f t="shared" si="12"/>
        <v>00:00</v>
      </c>
      <c r="M21" s="26" t="str">
        <f>IF(OR(F21="N",F21="F"),"0:00",
IF(
OR(
AND(Masterdata!$B$4&lt;&gt;DATE(1900,1,0),Masterdata!$B$4&lt;$E21),
AND(Masterdata!$B$3&lt;&gt;DATE(1900,1,0),Masterdata!$B$3&gt;$E21)
),"0:00",
IF(
$I21&gt;TIME(0,0,0),
IF(
NOT(OR($C21="mandag",$C21="tirsdag",$C21="onsdag",$C21="torsdag",$C21="fredag")),
TEXT($I21,"[tt]:mm"),
IF($I21-$G21&gt;=0,TEXT($I21-$G21,"[tt]:mm"),"-"&amp;TEXT(ABS($I21-$G21),"[tt]:mm"))
),
IF(
NOT(OR($C21="mandag",$C21="tirsdag",$C21="onsdag",$C21="torsdag",$C21="fredag")),
IF($K21-$J21&gt;=0,TEXT($K21-$J21,"[tt]:mm"),"-"&amp;TEXT(ABS($K21-$J21),"[tt]:mm")),
IF(
$K21-$J21-$G21&gt;=0,
TEXT($K21-$J21-$G21,"[tt]:mm"),
"-"&amp;TEXT(ABS($K21-$J21-$G21),"[tt]:mm")
)
)
)
))</f>
        <v>0:00</v>
      </c>
      <c r="N21" s="71" t="str">
        <f>LEFT(M21,1)</f>
        <v>0</v>
      </c>
      <c r="O21" s="25" t="str">
        <f t="shared" si="5"/>
        <v>0:</v>
      </c>
      <c r="P21" s="52" t="str">
        <f t="shared" si="6"/>
        <v>0</v>
      </c>
      <c r="Q21" s="53">
        <f t="shared" si="10"/>
        <v>0</v>
      </c>
      <c r="R21" s="30">
        <f>IF(N21="-",O21-Q21,O21+Q21)</f>
        <v>0</v>
      </c>
      <c r="S21" s="98"/>
      <c r="T21" s="98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</row>
    <row r="22" spans="1:45" x14ac:dyDescent="0.3">
      <c r="A22" s="7">
        <f t="shared" si="2"/>
        <v>38</v>
      </c>
      <c r="B22" s="8">
        <f t="shared" si="9"/>
        <v>46279</v>
      </c>
      <c r="C22" s="9" t="str" cm="1">
        <f t="array" ref="C22">_xlfn.XLOOKUP(E22,Masterdata!$B$31:$B$44,Masterdata!$A$31:$A$44,_xlfn.SWITCH(WEEKDAY($D22, 2), 1, "mandag", 2, "tirsdag", 3, "onsdag", 4, "torsdag", 5, "fredag", 6, "lørdag", 7, "søndag"),0)</f>
        <v>mandag</v>
      </c>
      <c r="D22" s="29">
        <f t="shared" si="0"/>
        <v>2</v>
      </c>
      <c r="E22" s="70">
        <f t="shared" si="3"/>
        <v>46279</v>
      </c>
      <c r="F22" s="10" t="s">
        <v>23</v>
      </c>
      <c r="G22" s="12">
        <f>IF(OR(AND(F22="N",NOT(OR(C22="mandag",C22="tirsdag",C22="onsdag",C22="torsdag",C22="fredag"))),F22="F"),0,
        IF(OR(
            AND(Masterdata!$B$4&lt;&gt;DATE(1900,1,0), Masterdata!$B$4&lt;$E22),
            AND(Masterdata!$B$3&lt;&gt;DATE(1900,1,0), Masterdata!$B$3&gt;$E22)
        ),
        0, $X$7/(5-H22)))</f>
        <v>0.30833333333333335</v>
      </c>
      <c r="H22" s="86">
        <f>SUMPRODUCT(COUNTIFS(August!$A$9:$A$39,$A22,August!$D$9:$D$39,"&lt;7",August!$F$9:$F$39,"F")+COUNTIFS($A$9:$A$38,$A22,$D$9:$D$38,"&lt;7",$F$9:$F$38,"F")+COUNTIFS(Oktober!$A$9:$A$39,$A22,Oktober!$D$9:$D$39,"&lt;7",Oktober!$F$9:$F$39,"F"))</f>
        <v>0</v>
      </c>
      <c r="I22" s="11">
        <v>0</v>
      </c>
      <c r="J22" s="11">
        <v>0</v>
      </c>
      <c r="K22" s="11">
        <v>0</v>
      </c>
      <c r="L22" s="26" t="str">
        <f t="shared" si="12"/>
        <v>07:24</v>
      </c>
      <c r="M22" s="26" t="str">
        <f>IF(OR(F22="N",F22="F"),"0:00",
IF(
OR(
AND(Masterdata!$B$4&lt;&gt;DATE(1900,1,0),Masterdata!$B$4&lt;$E22),
AND(Masterdata!$B$3&lt;&gt;DATE(1900,1,0),Masterdata!$B$3&gt;$E22)
),"0:00",
IF(
$I22&gt;TIME(0,0,0),
IF(
NOT(OR($C22="mandag",$C22="tirsdag",$C22="onsdag",$C22="torsdag",$C22="fredag")),
TEXT($I22,"[tt]:mm"),
IF($I22-$G22&gt;=0,TEXT($I22-$G22,"[tt]:mm"),"-"&amp;TEXT(ABS($I22-$G22),"[tt]:mm"))
),
IF(
NOT(OR($C22="mandag",$C22="tirsdag",$C22="onsdag",$C22="torsdag",$C22="fredag")),
IF($K22-$J22&gt;=0,TEXT($K22-$J22,"[tt]:mm"),"-"&amp;TEXT(ABS($K22-$J22),"[tt]:mm")),
IF(
$K22-$J22-$G22&gt;=0,
TEXT($K22-$J22-$G22,"[tt]:mm"),
"-"&amp;TEXT(ABS($K22-$J22-$G22),"[tt]:mm")
)
)
)
))</f>
        <v>0:00</v>
      </c>
      <c r="N22" s="71" t="str">
        <f t="shared" ref="N22:N38" si="13">LEFT(M22,1)</f>
        <v>0</v>
      </c>
      <c r="O22" s="25" t="str">
        <f t="shared" si="5"/>
        <v>0:</v>
      </c>
      <c r="P22" s="52" t="str">
        <f t="shared" si="6"/>
        <v>0</v>
      </c>
      <c r="Q22" s="53">
        <f t="shared" si="10"/>
        <v>0</v>
      </c>
      <c r="R22" s="30">
        <f t="shared" ref="R22:R38" si="14">IF(N22="-",O22-Q22,O22+Q22)</f>
        <v>0</v>
      </c>
      <c r="S22" s="98"/>
      <c r="T22" s="98"/>
      <c r="U22" s="29"/>
      <c r="V22" s="29"/>
      <c r="W22" s="29" t="s">
        <v>124</v>
      </c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</row>
    <row r="23" spans="1:45" x14ac:dyDescent="0.3">
      <c r="A23" s="7">
        <f t="shared" si="2"/>
        <v>38</v>
      </c>
      <c r="B23" s="8">
        <f t="shared" si="9"/>
        <v>46280</v>
      </c>
      <c r="C23" s="9" t="str" cm="1">
        <f t="array" ref="C23">_xlfn.XLOOKUP(E23,Masterdata!$B$31:$B$44,Masterdata!$A$31:$A$44,_xlfn.SWITCH(WEEKDAY($D23, 2), 1, "mandag", 2, "tirsdag", 3, "onsdag", 4, "torsdag", 5, "fredag", 6, "lørdag", 7, "søndag"),0)</f>
        <v>tirsdag</v>
      </c>
      <c r="D23" s="29">
        <f t="shared" si="0"/>
        <v>3</v>
      </c>
      <c r="E23" s="70">
        <f t="shared" si="3"/>
        <v>46280</v>
      </c>
      <c r="F23" s="10" t="s">
        <v>23</v>
      </c>
      <c r="G23" s="12">
        <f>IF(OR(AND(F23="N",NOT(OR(C23="mandag",C23="tirsdag",C23="onsdag",C23="torsdag",C23="fredag"))),F23="F"),0,
        IF(OR(
            AND(Masterdata!$B$4&lt;&gt;DATE(1900,1,0), Masterdata!$B$4&lt;$E23),
            AND(Masterdata!$B$3&lt;&gt;DATE(1900,1,0), Masterdata!$B$3&gt;$E23)
        ),
        0, $X$7/(5-H23)))</f>
        <v>0.30833333333333335</v>
      </c>
      <c r="H23" s="86">
        <f>SUMPRODUCT(COUNTIFS(August!$A$9:$A$39,$A23,August!$D$9:$D$39,"&lt;7",August!$F$9:$F$39,"F")+COUNTIFS($A$9:$A$38,$A23,$D$9:$D$38,"&lt;7",$F$9:$F$38,"F")+COUNTIFS(Oktober!$A$9:$A$39,$A23,Oktober!$D$9:$D$39,"&lt;7",Oktober!$F$9:$F$39,"F"))</f>
        <v>0</v>
      </c>
      <c r="I23" s="11">
        <v>0</v>
      </c>
      <c r="J23" s="11">
        <v>0</v>
      </c>
      <c r="K23" s="11">
        <v>0</v>
      </c>
      <c r="L23" s="26" t="str">
        <f t="shared" si="12"/>
        <v>07:24</v>
      </c>
      <c r="M23" s="26" t="str">
        <f>IF(OR(F23="N",F23="F"),"0:00",
IF(
OR(
AND(Masterdata!$B$4&lt;&gt;DATE(1900,1,0),Masterdata!$B$4&lt;$E23),
AND(Masterdata!$B$3&lt;&gt;DATE(1900,1,0),Masterdata!$B$3&gt;$E23)
),"0:00",
IF(
$I23&gt;TIME(0,0,0),
IF(
NOT(OR($C23="mandag",$C23="tirsdag",$C23="onsdag",$C23="torsdag",$C23="fredag")),
TEXT($I23,"[tt]:mm"),
IF($I23-$G23&gt;=0,TEXT($I23-$G23,"[tt]:mm"),"-"&amp;TEXT(ABS($I23-$G23),"[tt]:mm"))
),
IF(
NOT(OR($C23="mandag",$C23="tirsdag",$C23="onsdag",$C23="torsdag",$C23="fredag")),
IF($K23-$J23&gt;=0,TEXT($K23-$J23,"[tt]:mm"),"-"&amp;TEXT(ABS($K23-$J23),"[tt]:mm")),
IF(
$K23-$J23-$G23&gt;=0,
TEXT($K23-$J23-$G23,"[tt]:mm"),
"-"&amp;TEXT(ABS($K23-$J23-$G23),"[tt]:mm")
)
)
)
))</f>
        <v>0:00</v>
      </c>
      <c r="N23" s="71" t="str">
        <f t="shared" si="13"/>
        <v>0</v>
      </c>
      <c r="O23" s="25" t="str">
        <f t="shared" si="5"/>
        <v>0:</v>
      </c>
      <c r="P23" s="52" t="str">
        <f t="shared" si="6"/>
        <v>0</v>
      </c>
      <c r="Q23" s="53">
        <f t="shared" si="10"/>
        <v>0</v>
      </c>
      <c r="R23" s="30">
        <f t="shared" si="14"/>
        <v>0</v>
      </c>
      <c r="S23" s="98"/>
      <c r="T23" s="98"/>
      <c r="U23" s="29"/>
      <c r="V23" s="29"/>
      <c r="W23" s="29" t="s">
        <v>125</v>
      </c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</row>
    <row r="24" spans="1:45" x14ac:dyDescent="0.3">
      <c r="A24" s="7">
        <f t="shared" si="2"/>
        <v>38</v>
      </c>
      <c r="B24" s="8">
        <f t="shared" si="9"/>
        <v>46281</v>
      </c>
      <c r="C24" s="9" t="str" cm="1">
        <f t="array" ref="C24">_xlfn.XLOOKUP(E24,Masterdata!$B$31:$B$44,Masterdata!$A$31:$A$44,_xlfn.SWITCH(WEEKDAY($D24, 2), 1, "mandag", 2, "tirsdag", 3, "onsdag", 4, "torsdag", 5, "fredag", 6, "lørdag", 7, "søndag"),0)</f>
        <v>onsdag</v>
      </c>
      <c r="D24" s="29">
        <f t="shared" si="0"/>
        <v>4</v>
      </c>
      <c r="E24" s="70">
        <f t="shared" si="3"/>
        <v>46281</v>
      </c>
      <c r="F24" s="10" t="s">
        <v>23</v>
      </c>
      <c r="G24" s="12">
        <f>IF(OR(AND(F24="N",NOT(OR(C24="mandag",C24="tirsdag",C24="onsdag",C24="torsdag",C24="fredag"))),F24="F"),0,
        IF(OR(
            AND(Masterdata!$B$4&lt;&gt;DATE(1900,1,0), Masterdata!$B$4&lt;$E24),
            AND(Masterdata!$B$3&lt;&gt;DATE(1900,1,0), Masterdata!$B$3&gt;$E24)
        ),
        0, $X$7/(5-H24)))</f>
        <v>0.30833333333333335</v>
      </c>
      <c r="H24" s="86">
        <f>SUMPRODUCT(COUNTIFS(August!$A$9:$A$39,$A24,August!$D$9:$D$39,"&lt;7",August!$F$9:$F$39,"F")+COUNTIFS($A$9:$A$38,$A24,$D$9:$D$38,"&lt;7",$F$9:$F$38,"F")+COUNTIFS(Oktober!$A$9:$A$39,$A24,Oktober!$D$9:$D$39,"&lt;7",Oktober!$F$9:$F$39,"F"))</f>
        <v>0</v>
      </c>
      <c r="I24" s="11">
        <v>0</v>
      </c>
      <c r="J24" s="11">
        <v>0</v>
      </c>
      <c r="K24" s="11">
        <v>0</v>
      </c>
      <c r="L24" s="26" t="str">
        <f t="shared" si="12"/>
        <v>07:24</v>
      </c>
      <c r="M24" s="26" t="str">
        <f>IF(OR(F24="N",F24="F"),"0:00",
IF(
OR(
AND(Masterdata!$B$4&lt;&gt;DATE(1900,1,0),Masterdata!$B$4&lt;$E24),
AND(Masterdata!$B$3&lt;&gt;DATE(1900,1,0),Masterdata!$B$3&gt;$E24)
),"0:00",
IF(
$I24&gt;TIME(0,0,0),
IF(
NOT(OR($C24="mandag",$C24="tirsdag",$C24="onsdag",$C24="torsdag",$C24="fredag")),
TEXT($I24,"[tt]:mm"),
IF($I24-$G24&gt;=0,TEXT($I24-$G24,"[tt]:mm"),"-"&amp;TEXT(ABS($I24-$G24),"[tt]:mm"))
),
IF(
NOT(OR($C24="mandag",$C24="tirsdag",$C24="onsdag",$C24="torsdag",$C24="fredag")),
IF($K24-$J24&gt;=0,TEXT($K24-$J24,"[tt]:mm"),"-"&amp;TEXT(ABS($K24-$J24),"[tt]:mm")),
IF(
$K24-$J24-$G24&gt;=0,
TEXT($K24-$J24-$G24,"[tt]:mm"),
"-"&amp;TEXT(ABS($K24-$J24-$G24),"[tt]:mm")
)
)
)
))</f>
        <v>0:00</v>
      </c>
      <c r="N24" s="71" t="str">
        <f t="shared" si="13"/>
        <v>0</v>
      </c>
      <c r="O24" s="25" t="str">
        <f t="shared" si="5"/>
        <v>0:</v>
      </c>
      <c r="P24" s="52" t="str">
        <f t="shared" si="6"/>
        <v>0</v>
      </c>
      <c r="Q24" s="53">
        <f t="shared" si="10"/>
        <v>0</v>
      </c>
      <c r="R24" s="30">
        <f t="shared" si="14"/>
        <v>0</v>
      </c>
      <c r="S24" s="98"/>
      <c r="T24" s="98"/>
      <c r="U24" s="29"/>
      <c r="V24" s="29"/>
      <c r="W24" s="29" t="s">
        <v>126</v>
      </c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</row>
    <row r="25" spans="1:45" x14ac:dyDescent="0.3">
      <c r="A25" s="7">
        <f t="shared" si="2"/>
        <v>38</v>
      </c>
      <c r="B25" s="8">
        <f t="shared" si="9"/>
        <v>46282</v>
      </c>
      <c r="C25" s="9" t="str" cm="1">
        <f t="array" ref="C25">_xlfn.XLOOKUP(E25,Masterdata!$B$31:$B$44,Masterdata!$A$31:$A$44,_xlfn.SWITCH(WEEKDAY($D25, 2), 1, "mandag", 2, "tirsdag", 3, "onsdag", 4, "torsdag", 5, "fredag", 6, "lørdag", 7, "søndag"),0)</f>
        <v>torsdag</v>
      </c>
      <c r="D25" s="29">
        <f t="shared" si="0"/>
        <v>5</v>
      </c>
      <c r="E25" s="70">
        <f t="shared" si="3"/>
        <v>46282</v>
      </c>
      <c r="F25" s="10" t="s">
        <v>23</v>
      </c>
      <c r="G25" s="12">
        <f>IF(OR(AND(F25="N",NOT(OR(C25="mandag",C25="tirsdag",C25="onsdag",C25="torsdag",C25="fredag"))),F25="F"),0,
        IF(OR(
            AND(Masterdata!$B$4&lt;&gt;DATE(1900,1,0), Masterdata!$B$4&lt;$E25),
            AND(Masterdata!$B$3&lt;&gt;DATE(1900,1,0), Masterdata!$B$3&gt;$E25)
        ),
        0, $X$7/(5-H25)))</f>
        <v>0.30833333333333335</v>
      </c>
      <c r="H25" s="86">
        <f>SUMPRODUCT(COUNTIFS(August!$A$9:$A$39,$A25,August!$D$9:$D$39,"&lt;7",August!$F$9:$F$39,"F")+COUNTIFS($A$9:$A$38,$A25,$D$9:$D$38,"&lt;7",$F$9:$F$38,"F")+COUNTIFS(Oktober!$A$9:$A$39,$A25,Oktober!$D$9:$D$39,"&lt;7",Oktober!$F$9:$F$39,"F"))</f>
        <v>0</v>
      </c>
      <c r="I25" s="11">
        <v>0</v>
      </c>
      <c r="J25" s="11">
        <v>0</v>
      </c>
      <c r="K25" s="11">
        <v>0</v>
      </c>
      <c r="L25" s="26" t="str">
        <f t="shared" si="12"/>
        <v>07:24</v>
      </c>
      <c r="M25" s="26" t="str">
        <f>IF(OR(F25="N",F25="F"),"0:00",
IF(
OR(
AND(Masterdata!$B$4&lt;&gt;DATE(1900,1,0),Masterdata!$B$4&lt;$E25),
AND(Masterdata!$B$3&lt;&gt;DATE(1900,1,0),Masterdata!$B$3&gt;$E25)
),"0:00",
IF(
$I25&gt;TIME(0,0,0),
IF(
NOT(OR($C25="mandag",$C25="tirsdag",$C25="onsdag",$C25="torsdag",$C25="fredag")),
TEXT($I25,"[tt]:mm"),
IF($I25-$G25&gt;=0,TEXT($I25-$G25,"[tt]:mm"),"-"&amp;TEXT(ABS($I25-$G25),"[tt]:mm"))
),
IF(
NOT(OR($C25="mandag",$C25="tirsdag",$C25="onsdag",$C25="torsdag",$C25="fredag")),
IF($K25-$J25&gt;=0,TEXT($K25-$J25,"[tt]:mm"),"-"&amp;TEXT(ABS($K25-$J25),"[tt]:mm")),
IF(
$K25-$J25-$G25&gt;=0,
TEXT($K25-$J25-$G25,"[tt]:mm"),
"-"&amp;TEXT(ABS($K25-$J25-$G25),"[tt]:mm")
)
)
)
))</f>
        <v>0:00</v>
      </c>
      <c r="N25" s="71" t="str">
        <f t="shared" si="13"/>
        <v>0</v>
      </c>
      <c r="O25" s="25" t="str">
        <f t="shared" si="5"/>
        <v>0:</v>
      </c>
      <c r="P25" s="52" t="str">
        <f t="shared" si="6"/>
        <v>0</v>
      </c>
      <c r="Q25" s="53">
        <f t="shared" si="10"/>
        <v>0</v>
      </c>
      <c r="R25" s="30">
        <f t="shared" si="14"/>
        <v>0</v>
      </c>
      <c r="S25" s="98"/>
      <c r="T25" s="98"/>
      <c r="U25" s="29"/>
      <c r="V25" s="29"/>
      <c r="W25" s="29" t="s">
        <v>127</v>
      </c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</row>
    <row r="26" spans="1:45" x14ac:dyDescent="0.3">
      <c r="A26" s="7">
        <f t="shared" si="2"/>
        <v>38</v>
      </c>
      <c r="B26" s="8">
        <f t="shared" si="9"/>
        <v>46283</v>
      </c>
      <c r="C26" s="9" t="str" cm="1">
        <f t="array" ref="C26">_xlfn.XLOOKUP(E26,Masterdata!$B$31:$B$44,Masterdata!$A$31:$A$44,_xlfn.SWITCH(WEEKDAY($D26, 2), 1, "mandag", 2, "tirsdag", 3, "onsdag", 4, "torsdag", 5, "fredag", 6, "lørdag", 7, "søndag"),0)</f>
        <v>fredag</v>
      </c>
      <c r="D26" s="29">
        <f t="shared" si="0"/>
        <v>6</v>
      </c>
      <c r="E26" s="70">
        <f t="shared" si="3"/>
        <v>46283</v>
      </c>
      <c r="F26" s="10" t="s">
        <v>23</v>
      </c>
      <c r="G26" s="12">
        <f>IF(OR(AND(F26="N",NOT(OR(C26="mandag",C26="tirsdag",C26="onsdag",C26="torsdag",C26="fredag"))),F26="F"),0,
        IF(OR(
            AND(Masterdata!$B$4&lt;&gt;DATE(1900,1,0), Masterdata!$B$4&lt;$E26),
            AND(Masterdata!$B$3&lt;&gt;DATE(1900,1,0), Masterdata!$B$3&gt;$E26)
        ),
        0, $X$7/(5-H26)))</f>
        <v>0.30833333333333335</v>
      </c>
      <c r="H26" s="86">
        <f>SUMPRODUCT(COUNTIFS(August!$A$9:$A$39,$A26,August!$D$9:$D$39,"&lt;7",August!$F$9:$F$39,"F")+COUNTIFS($A$9:$A$38,$A26,$D$9:$D$38,"&lt;7",$F$9:$F$38,"F")+COUNTIFS(Oktober!$A$9:$A$39,$A26,Oktober!$D$9:$D$39,"&lt;7",Oktober!$F$9:$F$39,"F"))</f>
        <v>0</v>
      </c>
      <c r="I26" s="11">
        <v>0</v>
      </c>
      <c r="J26" s="11">
        <v>0</v>
      </c>
      <c r="K26" s="11">
        <v>0</v>
      </c>
      <c r="L26" s="26" t="str">
        <f t="shared" si="12"/>
        <v>07:24</v>
      </c>
      <c r="M26" s="26" t="str">
        <f>IF(OR(F26="N",F26="F"),"0:00",
IF(
OR(
AND(Masterdata!$B$4&lt;&gt;DATE(1900,1,0),Masterdata!$B$4&lt;$E26),
AND(Masterdata!$B$3&lt;&gt;DATE(1900,1,0),Masterdata!$B$3&gt;$E26)
),"0:00",
IF(
$I26&gt;TIME(0,0,0),
IF(
NOT(OR($C26="mandag",$C26="tirsdag",$C26="onsdag",$C26="torsdag",$C26="fredag")),
TEXT($I26,"[tt]:mm"),
IF($I26-$G26&gt;=0,TEXT($I26-$G26,"[tt]:mm"),"-"&amp;TEXT(ABS($I26-$G26),"[tt]:mm"))
),
IF(
NOT(OR($C26="mandag",$C26="tirsdag",$C26="onsdag",$C26="torsdag",$C26="fredag")),
IF($K26-$J26&gt;=0,TEXT($K26-$J26,"[tt]:mm"),"-"&amp;TEXT(ABS($K26-$J26),"[tt]:mm")),
IF(
$K26-$J26-$G26&gt;=0,
TEXT($K26-$J26-$G26,"[tt]:mm"),
"-"&amp;TEXT(ABS($K26-$J26-$G26),"[tt]:mm")
)
)
)
))</f>
        <v>0:00</v>
      </c>
      <c r="N26" s="71" t="str">
        <f t="shared" si="13"/>
        <v>0</v>
      </c>
      <c r="O26" s="25" t="str">
        <f t="shared" si="5"/>
        <v>0:</v>
      </c>
      <c r="P26" s="52" t="str">
        <f t="shared" si="6"/>
        <v>0</v>
      </c>
      <c r="Q26" s="53">
        <f t="shared" si="10"/>
        <v>0</v>
      </c>
      <c r="R26" s="30">
        <f t="shared" si="14"/>
        <v>0</v>
      </c>
      <c r="S26" s="98"/>
      <c r="T26" s="98"/>
      <c r="U26" s="29"/>
      <c r="V26" s="29"/>
      <c r="W26" s="29" t="s">
        <v>128</v>
      </c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</row>
    <row r="27" spans="1:45" x14ac:dyDescent="0.3">
      <c r="A27" s="7">
        <f t="shared" si="2"/>
        <v>38</v>
      </c>
      <c r="B27" s="8">
        <f t="shared" si="9"/>
        <v>46284</v>
      </c>
      <c r="C27" s="9" t="str" cm="1">
        <f t="array" ref="C27">_xlfn.XLOOKUP(E27,Masterdata!$B$31:$B$44,Masterdata!$A$31:$A$44,_xlfn.SWITCH(WEEKDAY($D27, 2), 1, "mandag", 2, "tirsdag", 3, "onsdag", 4, "torsdag", 5, "fredag", 6, "lørdag", 7, "søndag"),0)</f>
        <v>lørdag</v>
      </c>
      <c r="D27" s="29">
        <f t="shared" si="0"/>
        <v>7</v>
      </c>
      <c r="E27" s="70">
        <f t="shared" si="3"/>
        <v>46284</v>
      </c>
      <c r="F27" s="10" t="s">
        <v>23</v>
      </c>
      <c r="G27" s="12">
        <f>IF(OR(AND(F27="N",NOT(OR(C27="mandag",C27="tirsdag",C27="onsdag",C27="torsdag",C27="fredag"))),F27="F"),0,
        IF(OR(
            AND(Masterdata!$B$4&lt;&gt;DATE(1900,1,0), Masterdata!$B$4&lt;$E27),
            AND(Masterdata!$B$3&lt;&gt;DATE(1900,1,0), Masterdata!$B$3&gt;$E27)
        ),
        0, $X$7/(5-H27)))</f>
        <v>0</v>
      </c>
      <c r="H27" s="86">
        <f>SUMPRODUCT(COUNTIFS(August!$A$9:$A$39,$A27,August!$D$9:$D$39,"&lt;7",August!$F$9:$F$39,"F")+COUNTIFS($A$9:$A$38,$A27,$D$9:$D$38,"&lt;7",$F$9:$F$38,"F")+COUNTIFS(Oktober!$A$9:$A$39,$A27,Oktober!$D$9:$D$39,"&lt;7",Oktober!$F$9:$F$39,"F"))</f>
        <v>0</v>
      </c>
      <c r="I27" s="11">
        <v>0</v>
      </c>
      <c r="J27" s="11">
        <v>0</v>
      </c>
      <c r="K27" s="11">
        <v>0</v>
      </c>
      <c r="L27" s="26" t="str">
        <f t="shared" si="12"/>
        <v>00:00</v>
      </c>
      <c r="M27" s="26" t="str">
        <f>IF(OR(F27="N",F27="F"),"0:00",
IF(
OR(
AND(Masterdata!$B$4&lt;&gt;DATE(1900,1,0),Masterdata!$B$4&lt;$E27),
AND(Masterdata!$B$3&lt;&gt;DATE(1900,1,0),Masterdata!$B$3&gt;$E27)
),"0:00",
IF(
$I27&gt;TIME(0,0,0),
IF(
NOT(OR($C27="mandag",$C27="tirsdag",$C27="onsdag",$C27="torsdag",$C27="fredag")),
TEXT($I27,"[tt]:mm"),
IF($I27-$G27&gt;=0,TEXT($I27-$G27,"[tt]:mm"),"-"&amp;TEXT(ABS($I27-$G27),"[tt]:mm"))
),
IF(
NOT(OR($C27="mandag",$C27="tirsdag",$C27="onsdag",$C27="torsdag",$C27="fredag")),
IF($K27-$J27&gt;=0,TEXT($K27-$J27,"[tt]:mm"),"-"&amp;TEXT(ABS($K27-$J27),"[tt]:mm")),
IF(
$K27-$J27-$G27&gt;=0,
TEXT($K27-$J27-$G27,"[tt]:mm"),
"-"&amp;TEXT(ABS($K27-$J27-$G27),"[tt]:mm")
)
)
)
))</f>
        <v>0:00</v>
      </c>
      <c r="N27" s="71" t="str">
        <f t="shared" si="13"/>
        <v>0</v>
      </c>
      <c r="O27" s="25" t="str">
        <f t="shared" si="5"/>
        <v>0:</v>
      </c>
      <c r="P27" s="52" t="str">
        <f t="shared" si="6"/>
        <v>0</v>
      </c>
      <c r="Q27" s="53">
        <f t="shared" si="10"/>
        <v>0</v>
      </c>
      <c r="R27" s="30">
        <f t="shared" si="14"/>
        <v>0</v>
      </c>
      <c r="S27" s="98"/>
      <c r="T27" s="98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</row>
    <row r="28" spans="1:45" x14ac:dyDescent="0.3">
      <c r="A28" s="7">
        <f t="shared" si="2"/>
        <v>38</v>
      </c>
      <c r="B28" s="8">
        <f t="shared" si="9"/>
        <v>46285</v>
      </c>
      <c r="C28" s="9" t="str" cm="1">
        <f t="array" ref="C28">_xlfn.XLOOKUP(E28,Masterdata!$B$31:$B$44,Masterdata!$A$31:$A$44,_xlfn.SWITCH(WEEKDAY($D28, 2), 1, "mandag", 2, "tirsdag", 3, "onsdag", 4, "torsdag", 5, "fredag", 6, "lørdag", 7, "søndag"),0)</f>
        <v>søndag</v>
      </c>
      <c r="D28" s="29">
        <f t="shared" si="0"/>
        <v>8</v>
      </c>
      <c r="E28" s="70">
        <f t="shared" si="3"/>
        <v>46285</v>
      </c>
      <c r="F28" s="10" t="s">
        <v>23</v>
      </c>
      <c r="G28" s="12">
        <f>IF(OR(AND(F28="N",NOT(OR(C28="mandag",C28="tirsdag",C28="onsdag",C28="torsdag",C28="fredag"))),F28="F"),0,
        IF(OR(
            AND(Masterdata!$B$4&lt;&gt;DATE(1900,1,0), Masterdata!$B$4&lt;$E28),
            AND(Masterdata!$B$3&lt;&gt;DATE(1900,1,0), Masterdata!$B$3&gt;$E28)
        ),
        0, $X$7/(5-H28)))</f>
        <v>0</v>
      </c>
      <c r="H28" s="86">
        <f>SUMPRODUCT(COUNTIFS(August!$A$9:$A$39,$A28,August!$D$9:$D$39,"&lt;7",August!$F$9:$F$39,"F")+COUNTIFS($A$9:$A$38,$A28,$D$9:$D$38,"&lt;7",$F$9:$F$38,"F")+COUNTIFS(Oktober!$A$9:$A$39,$A28,Oktober!$D$9:$D$39,"&lt;7",Oktober!$F$9:$F$39,"F"))</f>
        <v>0</v>
      </c>
      <c r="I28" s="11">
        <v>0</v>
      </c>
      <c r="J28" s="11">
        <v>0</v>
      </c>
      <c r="K28" s="11">
        <v>0</v>
      </c>
      <c r="L28" s="26" t="str">
        <f t="shared" si="12"/>
        <v>00:00</v>
      </c>
      <c r="M28" s="26" t="str">
        <f>IF(OR(F28="N",F28="F"),"0:00",
IF(
OR(
AND(Masterdata!$B$4&lt;&gt;DATE(1900,1,0),Masterdata!$B$4&lt;$E28),
AND(Masterdata!$B$3&lt;&gt;DATE(1900,1,0),Masterdata!$B$3&gt;$E28)
),"0:00",
IF(
$I28&gt;TIME(0,0,0),
IF(
NOT(OR($C28="mandag",$C28="tirsdag",$C28="onsdag",$C28="torsdag",$C28="fredag")),
TEXT($I28,"[tt]:mm"),
IF($I28-$G28&gt;=0,TEXT($I28-$G28,"[tt]:mm"),"-"&amp;TEXT(ABS($I28-$G28),"[tt]:mm"))
),
IF(
NOT(OR($C28="mandag",$C28="tirsdag",$C28="onsdag",$C28="torsdag",$C28="fredag")),
IF($K28-$J28&gt;=0,TEXT($K28-$J28,"[tt]:mm"),"-"&amp;TEXT(ABS($K28-$J28),"[tt]:mm")),
IF(
$K28-$J28-$G28&gt;=0,
TEXT($K28-$J28-$G28,"[tt]:mm"),
"-"&amp;TEXT(ABS($K28-$J28-$G28),"[tt]:mm")
)
)
)
))</f>
        <v>0:00</v>
      </c>
      <c r="N28" s="71" t="str">
        <f t="shared" si="13"/>
        <v>0</v>
      </c>
      <c r="O28" s="25" t="str">
        <f t="shared" si="5"/>
        <v>0:</v>
      </c>
      <c r="P28" s="52" t="str">
        <f t="shared" si="6"/>
        <v>0</v>
      </c>
      <c r="Q28" s="53">
        <f t="shared" si="10"/>
        <v>0</v>
      </c>
      <c r="R28" s="30">
        <f t="shared" si="14"/>
        <v>0</v>
      </c>
      <c r="S28" s="98"/>
      <c r="T28" s="98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</row>
    <row r="29" spans="1:45" x14ac:dyDescent="0.3">
      <c r="A29" s="7">
        <f t="shared" si="2"/>
        <v>39</v>
      </c>
      <c r="B29" s="8">
        <f t="shared" si="9"/>
        <v>46286</v>
      </c>
      <c r="C29" s="9" t="str" cm="1">
        <f t="array" ref="C29">_xlfn.XLOOKUP(E29,Masterdata!$B$31:$B$44,Masterdata!$A$31:$A$44,_xlfn.SWITCH(WEEKDAY($D29, 2), 1, "mandag", 2, "tirsdag", 3, "onsdag", 4, "torsdag", 5, "fredag", 6, "lørdag", 7, "søndag"),0)</f>
        <v>mandag</v>
      </c>
      <c r="D29" s="29">
        <f t="shared" si="0"/>
        <v>2</v>
      </c>
      <c r="E29" s="70">
        <f t="shared" si="3"/>
        <v>46286</v>
      </c>
      <c r="F29" s="10" t="s">
        <v>23</v>
      </c>
      <c r="G29" s="12">
        <f>IF(OR(AND(F29="N",NOT(OR(C29="mandag",C29="tirsdag",C29="onsdag",C29="torsdag",C29="fredag"))),F29="F"),0,
        IF(OR(
            AND(Masterdata!$B$4&lt;&gt;DATE(1900,1,0), Masterdata!$B$4&lt;$E29),
            AND(Masterdata!$B$3&lt;&gt;DATE(1900,1,0), Masterdata!$B$3&gt;$E29)
        ),
        0, $X$7/(5-H29)))</f>
        <v>0.30833333333333335</v>
      </c>
      <c r="H29" s="86">
        <f>SUMPRODUCT(COUNTIFS(August!$A$9:$A$39,$A29,August!$D$9:$D$39,"&lt;7",August!$F$9:$F$39,"F")+COUNTIFS($A$9:$A$38,$A29,$D$9:$D$38,"&lt;7",$F$9:$F$38,"F")+COUNTIFS(Oktober!$A$9:$A$39,$A29,Oktober!$D$9:$D$39,"&lt;7",Oktober!$F$9:$F$39,"F"))</f>
        <v>0</v>
      </c>
      <c r="I29" s="11">
        <v>0</v>
      </c>
      <c r="J29" s="11">
        <v>0</v>
      </c>
      <c r="K29" s="11">
        <v>0</v>
      </c>
      <c r="L29" s="26" t="str">
        <f t="shared" si="12"/>
        <v>07:24</v>
      </c>
      <c r="M29" s="26" t="str">
        <f>IF(OR(F29="N",F29="F"),"0:00",
IF(
OR(
AND(Masterdata!$B$4&lt;&gt;DATE(1900,1,0),Masterdata!$B$4&lt;$E29),
AND(Masterdata!$B$3&lt;&gt;DATE(1900,1,0),Masterdata!$B$3&gt;$E29)
),"0:00",
IF(
$I29&gt;TIME(0,0,0),
IF(
NOT(OR($C29="mandag",$C29="tirsdag",$C29="onsdag",$C29="torsdag",$C29="fredag")),
TEXT($I29,"[tt]:mm"),
IF($I29-$G29&gt;=0,TEXT($I29-$G29,"[tt]:mm"),"-"&amp;TEXT(ABS($I29-$G29),"[tt]:mm"))
),
IF(
NOT(OR($C29="mandag",$C29="tirsdag",$C29="onsdag",$C29="torsdag",$C29="fredag")),
IF($K29-$J29&gt;=0,TEXT($K29-$J29,"[tt]:mm"),"-"&amp;TEXT(ABS($K29-$J29),"[tt]:mm")),
IF(
$K29-$J29-$G29&gt;=0,
TEXT($K29-$J29-$G29,"[tt]:mm"),
"-"&amp;TEXT(ABS($K29-$J29-$G29),"[tt]:mm")
)
)
)
))</f>
        <v>0:00</v>
      </c>
      <c r="N29" s="71" t="str">
        <f t="shared" si="13"/>
        <v>0</v>
      </c>
      <c r="O29" s="25" t="str">
        <f t="shared" si="5"/>
        <v>0:</v>
      </c>
      <c r="P29" s="52" t="str">
        <f t="shared" si="6"/>
        <v>0</v>
      </c>
      <c r="Q29" s="53">
        <f t="shared" si="10"/>
        <v>0</v>
      </c>
      <c r="R29" s="30">
        <f t="shared" si="14"/>
        <v>0</v>
      </c>
      <c r="S29" s="98"/>
      <c r="T29" s="98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</row>
    <row r="30" spans="1:45" x14ac:dyDescent="0.3">
      <c r="A30" s="7">
        <f t="shared" si="2"/>
        <v>39</v>
      </c>
      <c r="B30" s="8">
        <f t="shared" si="9"/>
        <v>46287</v>
      </c>
      <c r="C30" s="9" t="str" cm="1">
        <f t="array" ref="C30">_xlfn.XLOOKUP(E30,Masterdata!$B$31:$B$44,Masterdata!$A$31:$A$44,_xlfn.SWITCH(WEEKDAY($D30, 2), 1, "mandag", 2, "tirsdag", 3, "onsdag", 4, "torsdag", 5, "fredag", 6, "lørdag", 7, "søndag"),0)</f>
        <v>tirsdag</v>
      </c>
      <c r="D30" s="29">
        <f t="shared" si="0"/>
        <v>3</v>
      </c>
      <c r="E30" s="70">
        <f t="shared" si="3"/>
        <v>46287</v>
      </c>
      <c r="F30" s="10" t="s">
        <v>23</v>
      </c>
      <c r="G30" s="12">
        <f>IF(OR(AND(F30="N",NOT(OR(C30="mandag",C30="tirsdag",C30="onsdag",C30="torsdag",C30="fredag"))),F30="F"),0,
        IF(OR(
            AND(Masterdata!$B$4&lt;&gt;DATE(1900,1,0), Masterdata!$B$4&lt;$E30),
            AND(Masterdata!$B$3&lt;&gt;DATE(1900,1,0), Masterdata!$B$3&gt;$E30)
        ),
        0, $X$7/(5-H30)))</f>
        <v>0.30833333333333335</v>
      </c>
      <c r="H30" s="86">
        <f>SUMPRODUCT(COUNTIFS(August!$A$9:$A$39,$A30,August!$D$9:$D$39,"&lt;7",August!$F$9:$F$39,"F")+COUNTIFS($A$9:$A$38,$A30,$D$9:$D$38,"&lt;7",$F$9:$F$38,"F")+COUNTIFS(Oktober!$A$9:$A$39,$A30,Oktober!$D$9:$D$39,"&lt;7",Oktober!$F$9:$F$39,"F"))</f>
        <v>0</v>
      </c>
      <c r="I30" s="11">
        <v>0</v>
      </c>
      <c r="J30" s="11">
        <v>0</v>
      </c>
      <c r="K30" s="11">
        <v>0</v>
      </c>
      <c r="L30" s="26" t="str">
        <f t="shared" si="12"/>
        <v>07:24</v>
      </c>
      <c r="M30" s="26" t="str">
        <f>IF(OR(F30="N",F30="F"),"0:00",
IF(
OR(
AND(Masterdata!$B$4&lt;&gt;DATE(1900,1,0),Masterdata!$B$4&lt;$E30),
AND(Masterdata!$B$3&lt;&gt;DATE(1900,1,0),Masterdata!$B$3&gt;$E30)
),"0:00",
IF(
$I30&gt;TIME(0,0,0),
IF(
NOT(OR($C30="mandag",$C30="tirsdag",$C30="onsdag",$C30="torsdag",$C30="fredag")),
TEXT($I30,"[tt]:mm"),
IF($I30-$G30&gt;=0,TEXT($I30-$G30,"[tt]:mm"),"-"&amp;TEXT(ABS($I30-$G30),"[tt]:mm"))
),
IF(
NOT(OR($C30="mandag",$C30="tirsdag",$C30="onsdag",$C30="torsdag",$C30="fredag")),
IF($K30-$J30&gt;=0,TEXT($K30-$J30,"[tt]:mm"),"-"&amp;TEXT(ABS($K30-$J30),"[tt]:mm")),
IF(
$K30-$J30-$G30&gt;=0,
TEXT($K30-$J30-$G30,"[tt]:mm"),
"-"&amp;TEXT(ABS($K30-$J30-$G30),"[tt]:mm")
)
)
)
))</f>
        <v>0:00</v>
      </c>
      <c r="N30" s="71" t="str">
        <f t="shared" si="13"/>
        <v>0</v>
      </c>
      <c r="O30" s="25" t="str">
        <f t="shared" si="5"/>
        <v>0:</v>
      </c>
      <c r="P30" s="52" t="str">
        <f t="shared" si="6"/>
        <v>0</v>
      </c>
      <c r="Q30" s="53">
        <f t="shared" si="10"/>
        <v>0</v>
      </c>
      <c r="R30" s="30">
        <f t="shared" si="14"/>
        <v>0</v>
      </c>
      <c r="S30" s="98"/>
      <c r="T30" s="98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</row>
    <row r="31" spans="1:45" x14ac:dyDescent="0.3">
      <c r="A31" s="7">
        <f t="shared" si="2"/>
        <v>39</v>
      </c>
      <c r="B31" s="8">
        <f t="shared" si="9"/>
        <v>46288</v>
      </c>
      <c r="C31" s="9" t="str" cm="1">
        <f t="array" ref="C31">_xlfn.XLOOKUP(E31,Masterdata!$B$31:$B$44,Masterdata!$A$31:$A$44,_xlfn.SWITCH(WEEKDAY($D31, 2), 1, "mandag", 2, "tirsdag", 3, "onsdag", 4, "torsdag", 5, "fredag", 6, "lørdag", 7, "søndag"),0)</f>
        <v>onsdag</v>
      </c>
      <c r="D31" s="29">
        <f t="shared" si="0"/>
        <v>4</v>
      </c>
      <c r="E31" s="70">
        <f t="shared" si="3"/>
        <v>46288</v>
      </c>
      <c r="F31" s="10" t="s">
        <v>23</v>
      </c>
      <c r="G31" s="12">
        <f>IF(OR(AND(F31="N",NOT(OR(C31="mandag",C31="tirsdag",C31="onsdag",C31="torsdag",C31="fredag"))),F31="F"),0,
        IF(OR(
            AND(Masterdata!$B$4&lt;&gt;DATE(1900,1,0), Masterdata!$B$4&lt;$E31),
            AND(Masterdata!$B$3&lt;&gt;DATE(1900,1,0), Masterdata!$B$3&gt;$E31)
        ),
        0, $X$7/(5-H31)))</f>
        <v>0.30833333333333335</v>
      </c>
      <c r="H31" s="86">
        <f>SUMPRODUCT(COUNTIFS(August!$A$9:$A$39,$A31,August!$D$9:$D$39,"&lt;7",August!$F$9:$F$39,"F")+COUNTIFS($A$9:$A$38,$A31,$D$9:$D$38,"&lt;7",$F$9:$F$38,"F")+COUNTIFS(Oktober!$A$9:$A$39,$A31,Oktober!$D$9:$D$39,"&lt;7",Oktober!$F$9:$F$39,"F"))</f>
        <v>0</v>
      </c>
      <c r="I31" s="11">
        <v>0</v>
      </c>
      <c r="J31" s="11">
        <v>0</v>
      </c>
      <c r="K31" s="11">
        <v>0</v>
      </c>
      <c r="L31" s="26" t="str">
        <f t="shared" si="12"/>
        <v>07:24</v>
      </c>
      <c r="M31" s="26" t="str">
        <f>IF(OR(F31="N",F31="F"),"0:00",
IF(
OR(
AND(Masterdata!$B$4&lt;&gt;DATE(1900,1,0),Masterdata!$B$4&lt;$E31),
AND(Masterdata!$B$3&lt;&gt;DATE(1900,1,0),Masterdata!$B$3&gt;$E31)
),"0:00",
IF(
$I31&gt;TIME(0,0,0),
IF(
NOT(OR($C31="mandag",$C31="tirsdag",$C31="onsdag",$C31="torsdag",$C31="fredag")),
TEXT($I31,"[tt]:mm"),
IF($I31-$G31&gt;=0,TEXT($I31-$G31,"[tt]:mm"),"-"&amp;TEXT(ABS($I31-$G31),"[tt]:mm"))
),
IF(
NOT(OR($C31="mandag",$C31="tirsdag",$C31="onsdag",$C31="torsdag",$C31="fredag")),
IF($K31-$J31&gt;=0,TEXT($K31-$J31,"[tt]:mm"),"-"&amp;TEXT(ABS($K31-$J31),"[tt]:mm")),
IF(
$K31-$J31-$G31&gt;=0,
TEXT($K31-$J31-$G31,"[tt]:mm"),
"-"&amp;TEXT(ABS($K31-$J31-$G31),"[tt]:mm")
)
)
)
))</f>
        <v>0:00</v>
      </c>
      <c r="N31" s="71" t="str">
        <f t="shared" si="13"/>
        <v>0</v>
      </c>
      <c r="O31" s="25" t="str">
        <f t="shared" si="5"/>
        <v>0:</v>
      </c>
      <c r="P31" s="52" t="str">
        <f t="shared" si="6"/>
        <v>0</v>
      </c>
      <c r="Q31" s="53">
        <f t="shared" si="10"/>
        <v>0</v>
      </c>
      <c r="R31" s="30">
        <f t="shared" si="14"/>
        <v>0</v>
      </c>
      <c r="S31" s="98"/>
      <c r="T31" s="98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</row>
    <row r="32" spans="1:45" x14ac:dyDescent="0.3">
      <c r="A32" s="7">
        <f t="shared" si="2"/>
        <v>39</v>
      </c>
      <c r="B32" s="8">
        <f t="shared" si="9"/>
        <v>46289</v>
      </c>
      <c r="C32" s="9" t="str" cm="1">
        <f t="array" ref="C32">_xlfn.XLOOKUP(E32,Masterdata!$B$31:$B$44,Masterdata!$A$31:$A$44,_xlfn.SWITCH(WEEKDAY($D32, 2), 1, "mandag", 2, "tirsdag", 3, "onsdag", 4, "torsdag", 5, "fredag", 6, "lørdag", 7, "søndag"),0)</f>
        <v>torsdag</v>
      </c>
      <c r="D32" s="29">
        <f t="shared" si="0"/>
        <v>5</v>
      </c>
      <c r="E32" s="70">
        <f t="shared" si="3"/>
        <v>46289</v>
      </c>
      <c r="F32" s="10" t="s">
        <v>23</v>
      </c>
      <c r="G32" s="12">
        <f>IF(OR(AND(F32="N",NOT(OR(C32="mandag",C32="tirsdag",C32="onsdag",C32="torsdag",C32="fredag"))),F32="F"),0,
        IF(OR(
            AND(Masterdata!$B$4&lt;&gt;DATE(1900,1,0), Masterdata!$B$4&lt;$E32),
            AND(Masterdata!$B$3&lt;&gt;DATE(1900,1,0), Masterdata!$B$3&gt;$E32)
        ),
        0, $X$7/(5-H32)))</f>
        <v>0.30833333333333335</v>
      </c>
      <c r="H32" s="86">
        <f>SUMPRODUCT(COUNTIFS(August!$A$9:$A$39,$A32,August!$D$9:$D$39,"&lt;7",August!$F$9:$F$39,"F")+COUNTIFS($A$9:$A$38,$A32,$D$9:$D$38,"&lt;7",$F$9:$F$38,"F")+COUNTIFS(Oktober!$A$9:$A$39,$A32,Oktober!$D$9:$D$39,"&lt;7",Oktober!$F$9:$F$39,"F"))</f>
        <v>0</v>
      </c>
      <c r="I32" s="11">
        <v>0</v>
      </c>
      <c r="J32" s="11">
        <v>0</v>
      </c>
      <c r="K32" s="11">
        <v>0</v>
      </c>
      <c r="L32" s="26" t="str">
        <f t="shared" si="12"/>
        <v>07:24</v>
      </c>
      <c r="M32" s="26" t="str">
        <f>IF(OR(F32="N",F32="F"),"0:00",
IF(
OR(
AND(Masterdata!$B$4&lt;&gt;DATE(1900,1,0),Masterdata!$B$4&lt;$E32),
AND(Masterdata!$B$3&lt;&gt;DATE(1900,1,0),Masterdata!$B$3&gt;$E32)
),"0:00",
IF(
$I32&gt;TIME(0,0,0),
IF(
NOT(OR($C32="mandag",$C32="tirsdag",$C32="onsdag",$C32="torsdag",$C32="fredag")),
TEXT($I32,"[tt]:mm"),
IF($I32-$G32&gt;=0,TEXT($I32-$G32,"[tt]:mm"),"-"&amp;TEXT(ABS($I32-$G32),"[tt]:mm"))
),
IF(
NOT(OR($C32="mandag",$C32="tirsdag",$C32="onsdag",$C32="torsdag",$C32="fredag")),
IF($K32-$J32&gt;=0,TEXT($K32-$J32,"[tt]:mm"),"-"&amp;TEXT(ABS($K32-$J32),"[tt]:mm")),
IF(
$K32-$J32-$G32&gt;=0,
TEXT($K32-$J32-$G32,"[tt]:mm"),
"-"&amp;TEXT(ABS($K32-$J32-$G32),"[tt]:mm")
)
)
)
))</f>
        <v>0:00</v>
      </c>
      <c r="N32" s="71" t="str">
        <f t="shared" si="13"/>
        <v>0</v>
      </c>
      <c r="O32" s="25" t="str">
        <f t="shared" si="5"/>
        <v>0:</v>
      </c>
      <c r="P32" s="52" t="str">
        <f t="shared" si="6"/>
        <v>0</v>
      </c>
      <c r="Q32" s="53">
        <f t="shared" si="10"/>
        <v>0</v>
      </c>
      <c r="R32" s="30">
        <f t="shared" si="14"/>
        <v>0</v>
      </c>
      <c r="S32" s="98"/>
      <c r="T32" s="98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</row>
    <row r="33" spans="1:45" x14ac:dyDescent="0.3">
      <c r="A33" s="7">
        <f t="shared" si="2"/>
        <v>39</v>
      </c>
      <c r="B33" s="8">
        <f t="shared" si="9"/>
        <v>46290</v>
      </c>
      <c r="C33" s="9" t="str" cm="1">
        <f t="array" ref="C33">_xlfn.XLOOKUP(E33,Masterdata!$B$31:$B$44,Masterdata!$A$31:$A$44,_xlfn.SWITCH(WEEKDAY($D33, 2), 1, "mandag", 2, "tirsdag", 3, "onsdag", 4, "torsdag", 5, "fredag", 6, "lørdag", 7, "søndag"),0)</f>
        <v>fredag</v>
      </c>
      <c r="D33" s="29">
        <f t="shared" si="0"/>
        <v>6</v>
      </c>
      <c r="E33" s="70">
        <f t="shared" si="3"/>
        <v>46290</v>
      </c>
      <c r="F33" s="10" t="s">
        <v>23</v>
      </c>
      <c r="G33" s="12">
        <f>IF(OR(AND(F33="N",NOT(OR(C33="mandag",C33="tirsdag",C33="onsdag",C33="torsdag",C33="fredag"))),F33="F"),0,
        IF(OR(
            AND(Masterdata!$B$4&lt;&gt;DATE(1900,1,0), Masterdata!$B$4&lt;$E33),
            AND(Masterdata!$B$3&lt;&gt;DATE(1900,1,0), Masterdata!$B$3&gt;$E33)
        ),
        0, $X$7/(5-H33)))</f>
        <v>0.30833333333333335</v>
      </c>
      <c r="H33" s="86">
        <f>SUMPRODUCT(COUNTIFS(August!$A$9:$A$39,$A33,August!$D$9:$D$39,"&lt;7",August!$F$9:$F$39,"F")+COUNTIFS($A$9:$A$38,$A33,$D$9:$D$38,"&lt;7",$F$9:$F$38,"F")+COUNTIFS(Oktober!$A$9:$A$39,$A33,Oktober!$D$9:$D$39,"&lt;7",Oktober!$F$9:$F$39,"F"))</f>
        <v>0</v>
      </c>
      <c r="I33" s="11">
        <v>0</v>
      </c>
      <c r="J33" s="11">
        <v>0</v>
      </c>
      <c r="K33" s="11">
        <v>0</v>
      </c>
      <c r="L33" s="26" t="str">
        <f t="shared" si="12"/>
        <v>07:24</v>
      </c>
      <c r="M33" s="26" t="str">
        <f>IF(OR(F33="N",F33="F"),"0:00",
IF(
OR(
AND(Masterdata!$B$4&lt;&gt;DATE(1900,1,0),Masterdata!$B$4&lt;$E33),
AND(Masterdata!$B$3&lt;&gt;DATE(1900,1,0),Masterdata!$B$3&gt;$E33)
),"0:00",
IF(
$I33&gt;TIME(0,0,0),
IF(
NOT(OR($C33="mandag",$C33="tirsdag",$C33="onsdag",$C33="torsdag",$C33="fredag")),
TEXT($I33,"[tt]:mm"),
IF($I33-$G33&gt;=0,TEXT($I33-$G33,"[tt]:mm"),"-"&amp;TEXT(ABS($I33-$G33),"[tt]:mm"))
),
IF(
NOT(OR($C33="mandag",$C33="tirsdag",$C33="onsdag",$C33="torsdag",$C33="fredag")),
IF($K33-$J33&gt;=0,TEXT($K33-$J33,"[tt]:mm"),"-"&amp;TEXT(ABS($K33-$J33),"[tt]:mm")),
IF(
$K33-$J33-$G33&gt;=0,
TEXT($K33-$J33-$G33,"[tt]:mm"),
"-"&amp;TEXT(ABS($K33-$J33-$G33),"[tt]:mm")
)
)
)
))</f>
        <v>0:00</v>
      </c>
      <c r="N33" s="71" t="str">
        <f t="shared" si="13"/>
        <v>0</v>
      </c>
      <c r="O33" s="25" t="str">
        <f t="shared" si="5"/>
        <v>0:</v>
      </c>
      <c r="P33" s="52" t="str">
        <f t="shared" si="6"/>
        <v>0</v>
      </c>
      <c r="Q33" s="53">
        <f t="shared" si="10"/>
        <v>0</v>
      </c>
      <c r="R33" s="30">
        <f t="shared" si="14"/>
        <v>0</v>
      </c>
      <c r="S33" s="98"/>
      <c r="T33" s="98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</row>
    <row r="34" spans="1:45" x14ac:dyDescent="0.3">
      <c r="A34" s="7">
        <f t="shared" si="2"/>
        <v>39</v>
      </c>
      <c r="B34" s="8">
        <f t="shared" si="9"/>
        <v>46291</v>
      </c>
      <c r="C34" s="9" t="str" cm="1">
        <f t="array" ref="C34">_xlfn.XLOOKUP(E34,Masterdata!$B$31:$B$44,Masterdata!$A$31:$A$44,_xlfn.SWITCH(WEEKDAY($D34, 2), 1, "mandag", 2, "tirsdag", 3, "onsdag", 4, "torsdag", 5, "fredag", 6, "lørdag", 7, "søndag"),0)</f>
        <v>lørdag</v>
      </c>
      <c r="D34" s="29">
        <f t="shared" si="0"/>
        <v>7</v>
      </c>
      <c r="E34" s="70">
        <f t="shared" si="3"/>
        <v>46291</v>
      </c>
      <c r="F34" s="10" t="s">
        <v>23</v>
      </c>
      <c r="G34" s="12">
        <f>IF(OR(AND(F34="N",NOT(OR(C34="mandag",C34="tirsdag",C34="onsdag",C34="torsdag",C34="fredag"))),F34="F"),0,
        IF(OR(
            AND(Masterdata!$B$4&lt;&gt;DATE(1900,1,0), Masterdata!$B$4&lt;$E34),
            AND(Masterdata!$B$3&lt;&gt;DATE(1900,1,0), Masterdata!$B$3&gt;$E34)
        ),
        0, $X$7/(5-H34)))</f>
        <v>0</v>
      </c>
      <c r="H34" s="86">
        <f>SUMPRODUCT(COUNTIFS(August!$A$9:$A$39,$A34,August!$D$9:$D$39,"&lt;7",August!$F$9:$F$39,"F")+COUNTIFS($A$9:$A$38,$A34,$D$9:$D$38,"&lt;7",$F$9:$F$38,"F")+COUNTIFS(Oktober!$A$9:$A$39,$A34,Oktober!$D$9:$D$39,"&lt;7",Oktober!$F$9:$F$39,"F"))</f>
        <v>0</v>
      </c>
      <c r="I34" s="11">
        <v>0</v>
      </c>
      <c r="J34" s="11">
        <v>0</v>
      </c>
      <c r="K34" s="11">
        <v>0</v>
      </c>
      <c r="L34" s="26" t="str">
        <f t="shared" si="12"/>
        <v>00:00</v>
      </c>
      <c r="M34" s="26" t="str">
        <f>IF(OR(F34="N",F34="F"),"0:00",
IF(
OR(
AND(Masterdata!$B$4&lt;&gt;DATE(1900,1,0),Masterdata!$B$4&lt;$E34),
AND(Masterdata!$B$3&lt;&gt;DATE(1900,1,0),Masterdata!$B$3&gt;$E34)
),"0:00",
IF(
$I34&gt;TIME(0,0,0),
IF(
NOT(OR($C34="mandag",$C34="tirsdag",$C34="onsdag",$C34="torsdag",$C34="fredag")),
TEXT($I34,"[tt]:mm"),
IF($I34-$G34&gt;=0,TEXT($I34-$G34,"[tt]:mm"),"-"&amp;TEXT(ABS($I34-$G34),"[tt]:mm"))
),
IF(
NOT(OR($C34="mandag",$C34="tirsdag",$C34="onsdag",$C34="torsdag",$C34="fredag")),
IF($K34-$J34&gt;=0,TEXT($K34-$J34,"[tt]:mm"),"-"&amp;TEXT(ABS($K34-$J34),"[tt]:mm")),
IF(
$K34-$J34-$G34&gt;=0,
TEXT($K34-$J34-$G34,"[tt]:mm"),
"-"&amp;TEXT(ABS($K34-$J34-$G34),"[tt]:mm")
)
)
)
))</f>
        <v>0:00</v>
      </c>
      <c r="N34" s="71" t="str">
        <f t="shared" si="13"/>
        <v>0</v>
      </c>
      <c r="O34" s="25" t="str">
        <f t="shared" si="5"/>
        <v>0:</v>
      </c>
      <c r="P34" s="52" t="str">
        <f t="shared" si="6"/>
        <v>0</v>
      </c>
      <c r="Q34" s="53">
        <f t="shared" si="10"/>
        <v>0</v>
      </c>
      <c r="R34" s="30">
        <f t="shared" si="14"/>
        <v>0</v>
      </c>
      <c r="S34" s="98"/>
      <c r="T34" s="98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</row>
    <row r="35" spans="1:45" x14ac:dyDescent="0.3">
      <c r="A35" s="7">
        <f t="shared" si="2"/>
        <v>39</v>
      </c>
      <c r="B35" s="8">
        <f t="shared" si="9"/>
        <v>46292</v>
      </c>
      <c r="C35" s="9" t="str" cm="1">
        <f t="array" ref="C35">_xlfn.XLOOKUP(E35,Masterdata!$B$31:$B$44,Masterdata!$A$31:$A$44,_xlfn.SWITCH(WEEKDAY($D35, 2), 1, "mandag", 2, "tirsdag", 3, "onsdag", 4, "torsdag", 5, "fredag", 6, "lørdag", 7, "søndag"),0)</f>
        <v>søndag</v>
      </c>
      <c r="D35" s="29">
        <f t="shared" si="0"/>
        <v>8</v>
      </c>
      <c r="E35" s="70">
        <f t="shared" si="3"/>
        <v>46292</v>
      </c>
      <c r="F35" s="10" t="s">
        <v>23</v>
      </c>
      <c r="G35" s="12">
        <f>IF(OR(AND(F35="N",NOT(OR(C35="mandag",C35="tirsdag",C35="onsdag",C35="torsdag",C35="fredag"))),F35="F"),0,
        IF(OR(
            AND(Masterdata!$B$4&lt;&gt;DATE(1900,1,0), Masterdata!$B$4&lt;$E35),
            AND(Masterdata!$B$3&lt;&gt;DATE(1900,1,0), Masterdata!$B$3&gt;$E35)
        ),
        0, $X$7/(5-H35)))</f>
        <v>0</v>
      </c>
      <c r="H35" s="86">
        <f>SUMPRODUCT(COUNTIFS(August!$A$9:$A$39,$A35,August!$D$9:$D$39,"&lt;7",August!$F$9:$F$39,"F")+COUNTIFS($A$9:$A$38,$A35,$D$9:$D$38,"&lt;7",$F$9:$F$38,"F")+COUNTIFS(Oktober!$A$9:$A$39,$A35,Oktober!$D$9:$D$39,"&lt;7",Oktober!$F$9:$F$39,"F"))</f>
        <v>0</v>
      </c>
      <c r="I35" s="11">
        <v>0</v>
      </c>
      <c r="J35" s="11">
        <v>0</v>
      </c>
      <c r="K35" s="11">
        <v>0</v>
      </c>
      <c r="L35" s="26" t="str">
        <f t="shared" si="12"/>
        <v>00:00</v>
      </c>
      <c r="M35" s="26" t="str">
        <f>IF(OR(F35="N",F35="F"),"0:00",
IF(
OR(
AND(Masterdata!$B$4&lt;&gt;DATE(1900,1,0),Masterdata!$B$4&lt;$E35),
AND(Masterdata!$B$3&lt;&gt;DATE(1900,1,0),Masterdata!$B$3&gt;$E35)
),"0:00",
IF(
$I35&gt;TIME(0,0,0),
IF(
NOT(OR($C35="mandag",$C35="tirsdag",$C35="onsdag",$C35="torsdag",$C35="fredag")),
TEXT($I35,"[tt]:mm"),
IF($I35-$G35&gt;=0,TEXT($I35-$G35,"[tt]:mm"),"-"&amp;TEXT(ABS($I35-$G35),"[tt]:mm"))
),
IF(
NOT(OR($C35="mandag",$C35="tirsdag",$C35="onsdag",$C35="torsdag",$C35="fredag")),
IF($K35-$J35&gt;=0,TEXT($K35-$J35,"[tt]:mm"),"-"&amp;TEXT(ABS($K35-$J35),"[tt]:mm")),
IF(
$K35-$J35-$G35&gt;=0,
TEXT($K35-$J35-$G35,"[tt]:mm"),
"-"&amp;TEXT(ABS($K35-$J35-$G35),"[tt]:mm")
)
)
)
))</f>
        <v>0:00</v>
      </c>
      <c r="N35" s="71" t="str">
        <f t="shared" si="13"/>
        <v>0</v>
      </c>
      <c r="O35" s="25" t="str">
        <f t="shared" si="5"/>
        <v>0:</v>
      </c>
      <c r="P35" s="52" t="str">
        <f t="shared" si="6"/>
        <v>0</v>
      </c>
      <c r="Q35" s="53">
        <f t="shared" si="10"/>
        <v>0</v>
      </c>
      <c r="R35" s="30">
        <f t="shared" si="14"/>
        <v>0</v>
      </c>
      <c r="S35" s="98"/>
      <c r="T35" s="98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</row>
    <row r="36" spans="1:45" x14ac:dyDescent="0.3">
      <c r="A36" s="7">
        <f t="shared" si="2"/>
        <v>40</v>
      </c>
      <c r="B36" s="8">
        <f t="shared" si="9"/>
        <v>46293</v>
      </c>
      <c r="C36" s="9" t="str" cm="1">
        <f t="array" ref="C36">_xlfn.XLOOKUP(E36,Masterdata!$B$31:$B$44,Masterdata!$A$31:$A$44,_xlfn.SWITCH(WEEKDAY($D36, 2), 1, "mandag", 2, "tirsdag", 3, "onsdag", 4, "torsdag", 5, "fredag", 6, "lørdag", 7, "søndag"),0)</f>
        <v>mandag</v>
      </c>
      <c r="D36" s="29">
        <f t="shared" si="0"/>
        <v>2</v>
      </c>
      <c r="E36" s="70">
        <f t="shared" si="3"/>
        <v>46293</v>
      </c>
      <c r="F36" s="10" t="s">
        <v>23</v>
      </c>
      <c r="G36" s="12">
        <f>IF(OR(AND(F36="N",NOT(OR(C36="mandag",C36="tirsdag",C36="onsdag",C36="torsdag",C36="fredag"))),F36="F"),0,
        IF(OR(
            AND(Masterdata!$B$4&lt;&gt;DATE(1900,1,0), Masterdata!$B$4&lt;$E36),
            AND(Masterdata!$B$3&lt;&gt;DATE(1900,1,0), Masterdata!$B$3&gt;$E36)
        ),
        0, $X$7/(5-H36)))</f>
        <v>0.30833333333333335</v>
      </c>
      <c r="H36" s="86">
        <f>SUMPRODUCT(COUNTIFS(August!$A$9:$A$39,$A36,August!$D$9:$D$39,"&lt;7",August!$F$9:$F$39,"F")+COUNTIFS($A$9:$A$38,$A36,$D$9:$D$38,"&lt;7",$F$9:$F$38,"F")+COUNTIFS(Oktober!$A$9:$A$39,$A36,Oktober!$D$9:$D$39,"&lt;7",Oktober!$F$9:$F$39,"F"))</f>
        <v>0</v>
      </c>
      <c r="I36" s="11">
        <v>0</v>
      </c>
      <c r="J36" s="11">
        <v>0</v>
      </c>
      <c r="K36" s="11">
        <v>0</v>
      </c>
      <c r="L36" s="26" t="str">
        <f t="shared" si="12"/>
        <v>07:24</v>
      </c>
      <c r="M36" s="26" t="str">
        <f>IF(OR(F36="N",F36="F"),"0:00",
IF(
OR(
AND(Masterdata!$B$4&lt;&gt;DATE(1900,1,0),Masterdata!$B$4&lt;$E36),
AND(Masterdata!$B$3&lt;&gt;DATE(1900,1,0),Masterdata!$B$3&gt;$E36)
),"0:00",
IF(
$I36&gt;TIME(0,0,0),
IF(
NOT(OR($C36="mandag",$C36="tirsdag",$C36="onsdag",$C36="torsdag",$C36="fredag")),
TEXT($I36,"[tt]:mm"),
IF($I36-$G36&gt;=0,TEXT($I36-$G36,"[tt]:mm"),"-"&amp;TEXT(ABS($I36-$G36),"[tt]:mm"))
),
IF(
NOT(OR($C36="mandag",$C36="tirsdag",$C36="onsdag",$C36="torsdag",$C36="fredag")),
IF($K36-$J36&gt;=0,TEXT($K36-$J36,"[tt]:mm"),"-"&amp;TEXT(ABS($K36-$J36),"[tt]:mm")),
IF(
$K36-$J36-$G36&gt;=0,
TEXT($K36-$J36-$G36,"[tt]:mm"),
"-"&amp;TEXT(ABS($K36-$J36-$G36),"[tt]:mm")
)
)
)
))</f>
        <v>0:00</v>
      </c>
      <c r="N36" s="71" t="str">
        <f t="shared" si="13"/>
        <v>0</v>
      </c>
      <c r="O36" s="25" t="str">
        <f t="shared" si="5"/>
        <v>0:</v>
      </c>
      <c r="P36" s="52" t="str">
        <f t="shared" si="6"/>
        <v>0</v>
      </c>
      <c r="Q36" s="53">
        <f t="shared" si="10"/>
        <v>0</v>
      </c>
      <c r="R36" s="30">
        <f t="shared" si="14"/>
        <v>0</v>
      </c>
      <c r="S36" s="98"/>
      <c r="T36" s="98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</row>
    <row r="37" spans="1:45" x14ac:dyDescent="0.3">
      <c r="A37" s="7">
        <f t="shared" si="2"/>
        <v>40</v>
      </c>
      <c r="B37" s="8">
        <f t="shared" si="9"/>
        <v>46294</v>
      </c>
      <c r="C37" s="9" t="str" cm="1">
        <f t="array" ref="C37">_xlfn.XLOOKUP(E37,Masterdata!$B$31:$B$44,Masterdata!$A$31:$A$44,_xlfn.SWITCH(WEEKDAY($D37, 2), 1, "mandag", 2, "tirsdag", 3, "onsdag", 4, "torsdag", 5, "fredag", 6, "lørdag", 7, "søndag"),0)</f>
        <v>tirsdag</v>
      </c>
      <c r="D37" s="29">
        <f t="shared" si="0"/>
        <v>3</v>
      </c>
      <c r="E37" s="70">
        <f t="shared" si="3"/>
        <v>46294</v>
      </c>
      <c r="F37" s="10" t="s">
        <v>23</v>
      </c>
      <c r="G37" s="12">
        <f>IF(OR(AND(F37="N",NOT(OR(C37="mandag",C37="tirsdag",C37="onsdag",C37="torsdag",C37="fredag"))),F37="F"),0,
        IF(OR(
            AND(Masterdata!$B$4&lt;&gt;DATE(1900,1,0), Masterdata!$B$4&lt;$E37),
            AND(Masterdata!$B$3&lt;&gt;DATE(1900,1,0), Masterdata!$B$3&gt;$E37)
        ),
        0, $X$7/(5-H37)))</f>
        <v>0.30833333333333335</v>
      </c>
      <c r="H37" s="86">
        <f>SUMPRODUCT(COUNTIFS(August!$A$9:$A$39,$A37,August!$D$9:$D$39,"&lt;7",August!$F$9:$F$39,"F")+COUNTIFS($A$9:$A$38,$A37,$D$9:$D$38,"&lt;7",$F$9:$F$38,"F")+COUNTIFS(Oktober!$A$9:$A$39,$A37,Oktober!$D$9:$D$39,"&lt;7",Oktober!$F$9:$F$39,"F"))</f>
        <v>0</v>
      </c>
      <c r="I37" s="11">
        <v>0</v>
      </c>
      <c r="J37" s="11">
        <v>0</v>
      </c>
      <c r="K37" s="11">
        <v>0</v>
      </c>
      <c r="L37" s="26" t="str">
        <f t="shared" si="12"/>
        <v>07:24</v>
      </c>
      <c r="M37" s="26" t="str">
        <f>IF(OR(F37="N",F37="F"),"0:00",
IF(
OR(
AND(Masterdata!$B$4&lt;&gt;DATE(1900,1,0),Masterdata!$B$4&lt;$E37),
AND(Masterdata!$B$3&lt;&gt;DATE(1900,1,0),Masterdata!$B$3&gt;$E37)
),"0:00",
IF(
$I37&gt;TIME(0,0,0),
IF(
NOT(OR($C37="mandag",$C37="tirsdag",$C37="onsdag",$C37="torsdag",$C37="fredag")),
TEXT($I37,"[tt]:mm"),
IF($I37-$G37&gt;=0,TEXT($I37-$G37,"[tt]:mm"),"-"&amp;TEXT(ABS($I37-$G37),"[tt]:mm"))
),
IF(
NOT(OR($C37="mandag",$C37="tirsdag",$C37="onsdag",$C37="torsdag",$C37="fredag")),
IF($K37-$J37&gt;=0,TEXT($K37-$J37,"[tt]:mm"),"-"&amp;TEXT(ABS($K37-$J37),"[tt]:mm")),
IF(
$K37-$J37-$G37&gt;=0,
TEXT($K37-$J37-$G37,"[tt]:mm"),
"-"&amp;TEXT(ABS($K37-$J37-$G37),"[tt]:mm")
)
)
)
))</f>
        <v>0:00</v>
      </c>
      <c r="N37" s="71" t="str">
        <f t="shared" si="13"/>
        <v>0</v>
      </c>
      <c r="O37" s="25" t="str">
        <f t="shared" si="5"/>
        <v>0:</v>
      </c>
      <c r="P37" s="52" t="str">
        <f t="shared" si="6"/>
        <v>0</v>
      </c>
      <c r="Q37" s="53">
        <f t="shared" si="10"/>
        <v>0</v>
      </c>
      <c r="R37" s="30">
        <f t="shared" si="14"/>
        <v>0</v>
      </c>
      <c r="S37" s="98"/>
      <c r="T37" s="98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</row>
    <row r="38" spans="1:45" x14ac:dyDescent="0.3">
      <c r="A38" s="7">
        <f t="shared" si="2"/>
        <v>40</v>
      </c>
      <c r="B38" s="8">
        <f t="shared" si="9"/>
        <v>46295</v>
      </c>
      <c r="C38" s="9" t="str" cm="1">
        <f t="array" ref="C38">_xlfn.XLOOKUP(E38,Masterdata!$B$31:$B$44,Masterdata!$A$31:$A$44,_xlfn.SWITCH(WEEKDAY($D38, 2), 1, "mandag", 2, "tirsdag", 3, "onsdag", 4, "torsdag", 5, "fredag", 6, "lørdag", 7, "søndag"),0)</f>
        <v>onsdag</v>
      </c>
      <c r="D38" s="29">
        <f t="shared" si="0"/>
        <v>4</v>
      </c>
      <c r="E38" s="70">
        <f t="shared" si="3"/>
        <v>46295</v>
      </c>
      <c r="F38" s="10" t="s">
        <v>23</v>
      </c>
      <c r="G38" s="12">
        <f>IF(OR(AND(F38="N",NOT(OR(C38="mandag",C38="tirsdag",C38="onsdag",C38="torsdag",C38="fredag"))),F38="F"),0,
        IF(OR(
            AND(Masterdata!$B$4&lt;&gt;DATE(1900,1,0), Masterdata!$B$4&lt;$E38),
            AND(Masterdata!$B$3&lt;&gt;DATE(1900,1,0), Masterdata!$B$3&gt;$E38)
        ),
        0, $X$7/(5-H38)))</f>
        <v>0.30833333333333335</v>
      </c>
      <c r="H38" s="86">
        <f>SUMPRODUCT(COUNTIFS(August!$A$9:$A$39,$A38,August!$D$9:$D$39,"&lt;7",August!$F$9:$F$39,"F")+COUNTIFS($A$9:$A$38,$A38,$D$9:$D$38,"&lt;7",$F$9:$F$38,"F")+COUNTIFS(Oktober!$A$9:$A$39,$A38,Oktober!$D$9:$D$39,"&lt;7",Oktober!$F$9:$F$39,"F"))</f>
        <v>0</v>
      </c>
      <c r="I38" s="11">
        <v>0</v>
      </c>
      <c r="J38" s="11">
        <v>0</v>
      </c>
      <c r="K38" s="11">
        <v>0</v>
      </c>
      <c r="L38" s="26" t="str">
        <f t="shared" si="12"/>
        <v>07:24</v>
      </c>
      <c r="M38" s="26" t="str">
        <f>IF(OR(F38="N",F38="F"),"0:00",
IF(
OR(
AND(Masterdata!$B$4&lt;&gt;DATE(1900,1,0),Masterdata!$B$4&lt;$E38),
AND(Masterdata!$B$3&lt;&gt;DATE(1900,1,0),Masterdata!$B$3&gt;$E38)
),"0:00",
IF(
$I38&gt;TIME(0,0,0),
IF(
NOT(OR($C38="mandag",$C38="tirsdag",$C38="onsdag",$C38="torsdag",$C38="fredag")),
TEXT($I38,"[tt]:mm"),
IF($I38-$G38&gt;=0,TEXT($I38-$G38,"[tt]:mm"),"-"&amp;TEXT(ABS($I38-$G38),"[tt]:mm"))
),
IF(
NOT(OR($C38="mandag",$C38="tirsdag",$C38="onsdag",$C38="torsdag",$C38="fredag")),
IF($K38-$J38&gt;=0,TEXT($K38-$J38,"[tt]:mm"),"-"&amp;TEXT(ABS($K38-$J38),"[tt]:mm")),
IF(
$K38-$J38-$G38&gt;=0,
TEXT($K38-$J38-$G38,"[tt]:mm"),
"-"&amp;TEXT(ABS($K38-$J38-$G38),"[tt]:mm")
)
)
)
))</f>
        <v>0:00</v>
      </c>
      <c r="N38" s="71" t="str">
        <f t="shared" si="13"/>
        <v>0</v>
      </c>
      <c r="O38" s="25" t="str">
        <f t="shared" si="5"/>
        <v>0:</v>
      </c>
      <c r="P38" s="52" t="str">
        <f t="shared" si="6"/>
        <v>0</v>
      </c>
      <c r="Q38" s="53">
        <f t="shared" si="10"/>
        <v>0</v>
      </c>
      <c r="R38" s="30">
        <f t="shared" si="14"/>
        <v>0</v>
      </c>
      <c r="S38" s="98"/>
      <c r="T38" s="98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</row>
    <row r="39" spans="1:45" x14ac:dyDescent="0.3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73"/>
      <c r="N39" s="29"/>
      <c r="O39" s="29"/>
      <c r="P39" s="29"/>
      <c r="Q39" s="29"/>
      <c r="R39" s="30">
        <f>SUM(R9:R38)</f>
        <v>0</v>
      </c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</row>
    <row r="40" spans="1:45" x14ac:dyDescent="0.3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</row>
    <row r="41" spans="1:45" x14ac:dyDescent="0.3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</row>
    <row r="42" spans="1:45" x14ac:dyDescent="0.3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</row>
    <row r="43" spans="1:45" x14ac:dyDescent="0.3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</row>
    <row r="44" spans="1:45" x14ac:dyDescent="0.3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</row>
    <row r="45" spans="1:45" x14ac:dyDescent="0.3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</row>
    <row r="46" spans="1:45" x14ac:dyDescent="0.3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</row>
    <row r="47" spans="1:45" x14ac:dyDescent="0.3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</row>
    <row r="48" spans="1:45" x14ac:dyDescent="0.3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</row>
    <row r="49" spans="1:45" x14ac:dyDescent="0.3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</row>
    <row r="50" spans="1:45" x14ac:dyDescent="0.3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</row>
    <row r="51" spans="1:45" x14ac:dyDescent="0.3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</row>
    <row r="52" spans="1:45" x14ac:dyDescent="0.3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</row>
    <row r="53" spans="1:45" x14ac:dyDescent="0.3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</row>
    <row r="54" spans="1:45" x14ac:dyDescent="0.3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</row>
    <row r="55" spans="1:45" x14ac:dyDescent="0.3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</row>
    <row r="56" spans="1:45" x14ac:dyDescent="0.3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</row>
    <row r="57" spans="1:45" x14ac:dyDescent="0.3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</row>
    <row r="58" spans="1:45" x14ac:dyDescent="0.3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</row>
    <row r="59" spans="1:45" x14ac:dyDescent="0.3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</row>
    <row r="60" spans="1:45" x14ac:dyDescent="0.3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</row>
    <row r="61" spans="1:45" x14ac:dyDescent="0.3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</row>
    <row r="62" spans="1:45" x14ac:dyDescent="0.3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</row>
    <row r="63" spans="1:45" x14ac:dyDescent="0.3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</row>
    <row r="64" spans="1:45" x14ac:dyDescent="0.3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</row>
    <row r="65" spans="1:45" x14ac:dyDescent="0.3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</row>
    <row r="66" spans="1:45" x14ac:dyDescent="0.3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</row>
    <row r="67" spans="1:45" x14ac:dyDescent="0.3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</row>
    <row r="68" spans="1:45" x14ac:dyDescent="0.3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</row>
    <row r="69" spans="1:45" x14ac:dyDescent="0.3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</row>
    <row r="70" spans="1:45" x14ac:dyDescent="0.3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</row>
    <row r="71" spans="1:45" x14ac:dyDescent="0.3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</row>
    <row r="72" spans="1:45" x14ac:dyDescent="0.3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</row>
    <row r="73" spans="1:45" x14ac:dyDescent="0.3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</row>
    <row r="74" spans="1:45" x14ac:dyDescent="0.3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</row>
    <row r="75" spans="1:45" x14ac:dyDescent="0.3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</row>
    <row r="76" spans="1:45" x14ac:dyDescent="0.3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</row>
    <row r="77" spans="1:45" x14ac:dyDescent="0.3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</row>
  </sheetData>
  <sheetProtection algorithmName="SHA-512" hashValue="J+qydF1q4CK+aOmUjcxevxUtt1vR0Bm9Zjyg7D+V/R2TJjpYisAKIyJlif3LcLRM/NT90jnXMMqneCeN97fSWg==" saltValue="UhW293jd10AIkrJKG6qBdg==" spinCount="100000" sheet="1" objects="1" scenarios="1"/>
  <mergeCells count="36">
    <mergeCell ref="S14:T14"/>
    <mergeCell ref="S2:T2"/>
    <mergeCell ref="S3:T3"/>
    <mergeCell ref="S4:T4"/>
    <mergeCell ref="S5:T5"/>
    <mergeCell ref="S6:T6"/>
    <mergeCell ref="S8:T8"/>
    <mergeCell ref="S9:T9"/>
    <mergeCell ref="S10:T10"/>
    <mergeCell ref="S11:T11"/>
    <mergeCell ref="S12:T12"/>
    <mergeCell ref="S13:T13"/>
    <mergeCell ref="S26:T26"/>
    <mergeCell ref="S15:T15"/>
    <mergeCell ref="S16:T16"/>
    <mergeCell ref="S17:T17"/>
    <mergeCell ref="S18:T18"/>
    <mergeCell ref="S19:T19"/>
    <mergeCell ref="S20:T20"/>
    <mergeCell ref="S21:T21"/>
    <mergeCell ref="S22:T22"/>
    <mergeCell ref="S23:T23"/>
    <mergeCell ref="S24:T24"/>
    <mergeCell ref="S25:T25"/>
    <mergeCell ref="S38:T38"/>
    <mergeCell ref="S27:T27"/>
    <mergeCell ref="S28:T28"/>
    <mergeCell ref="S29:T29"/>
    <mergeCell ref="S30:T30"/>
    <mergeCell ref="S31:T31"/>
    <mergeCell ref="S32:T32"/>
    <mergeCell ref="S33:T33"/>
    <mergeCell ref="S34:T34"/>
    <mergeCell ref="S35:T35"/>
    <mergeCell ref="S36:T36"/>
    <mergeCell ref="S37:T37"/>
  </mergeCells>
  <conditionalFormatting sqref="A9:H38">
    <cfRule type="expression" dxfId="19" priority="1">
      <formula>$F9="F"</formula>
    </cfRule>
    <cfRule type="expression" dxfId="18" priority="3">
      <formula>OR(NOT(OR($C9="mandag", $C9="tirsdag",$C9="onsdag",$C9="torsdag",$C9="fredag")),$F9="F")</formula>
    </cfRule>
  </conditionalFormatting>
  <conditionalFormatting sqref="G9:H38">
    <cfRule type="expression" dxfId="17" priority="5">
      <formula>AND($F9="N", (OR($C9="mandag", $C9="tirsdag",$C9="onsdag",$C9="torsdag",$C9="fredag")))</formula>
    </cfRule>
  </conditionalFormatting>
  <conditionalFormatting sqref="I9:K38">
    <cfRule type="expression" dxfId="16" priority="2">
      <formula>OR($F9="N",$F9="F")</formula>
    </cfRule>
    <cfRule type="expression" dxfId="15" priority="4">
      <formula>$F9="R"</formula>
    </cfRule>
  </conditionalFormatting>
  <dataValidations count="2">
    <dataValidation type="list" allowBlank="1" showInputMessage="1" showErrorMessage="1" sqref="F9:F38" xr:uid="{2E88C869-654B-4A5C-BC25-C1FA9F4C062D}">
      <formula1>IF($B$2,$M$3:$M$5,$M$4:$M$5)</formula1>
    </dataValidation>
    <dataValidation type="time" allowBlank="1" showInputMessage="1" showErrorMessage="1" sqref="I9:K38" xr:uid="{33AB4701-1AA9-44D7-A79E-E4AF8EDF574C}">
      <formula1>0</formula1>
      <formula2>0.999305555555556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ACE8A-4D30-4C70-AF2E-DD225BCFB25D}">
  <dimension ref="A1:AS78"/>
  <sheetViews>
    <sheetView zoomScale="70" zoomScaleNormal="70" workbookViewId="0">
      <selection activeCell="I5" sqref="I5"/>
    </sheetView>
  </sheetViews>
  <sheetFormatPr defaultRowHeight="14.4" outlineLevelCol="1" x14ac:dyDescent="0.3"/>
  <cols>
    <col min="1" max="1" width="15.5546875" customWidth="1"/>
    <col min="2" max="2" width="14.109375" customWidth="1"/>
    <col min="3" max="3" width="16.6640625" customWidth="1"/>
    <col min="4" max="4" width="15" hidden="1" customWidth="1"/>
    <col min="5" max="5" width="12.88671875" hidden="1" customWidth="1"/>
    <col min="6" max="6" width="13.5546875" bestFit="1" customWidth="1"/>
    <col min="7" max="7" width="16.33203125" bestFit="1" customWidth="1"/>
    <col min="8" max="8" width="24.109375" hidden="1" customWidth="1"/>
    <col min="9" max="9" width="17.88671875" customWidth="1"/>
    <col min="10" max="11" width="11.33203125" customWidth="1"/>
    <col min="12" max="12" width="18.6640625" customWidth="1"/>
    <col min="13" max="13" width="11.5546875" customWidth="1"/>
    <col min="14" max="15" width="11.109375" hidden="1" customWidth="1" outlineLevel="1"/>
    <col min="16" max="16" width="7.6640625" hidden="1" customWidth="1" outlineLevel="1"/>
    <col min="17" max="18" width="7.5546875" hidden="1" customWidth="1" outlineLevel="1"/>
    <col min="19" max="19" width="53.44140625" customWidth="1" collapsed="1"/>
    <col min="20" max="20" width="29.44140625" customWidth="1"/>
    <col min="21" max="21" width="9.109375" hidden="1" customWidth="1" outlineLevel="1"/>
    <col min="22" max="22" width="24.6640625" hidden="1" customWidth="1" outlineLevel="1"/>
    <col min="23" max="23" width="43" hidden="1" customWidth="1" outlineLevel="1"/>
    <col min="24" max="24" width="14" hidden="1" customWidth="1" outlineLevel="1"/>
    <col min="25" max="25" width="19.44140625" customWidth="1" outlineLevel="1"/>
  </cols>
  <sheetData>
    <row r="1" spans="1:45" ht="16.5" customHeight="1" thickBot="1" x14ac:dyDescent="0.35">
      <c r="A1" s="14" t="s">
        <v>102</v>
      </c>
      <c r="B1" s="15">
        <v>37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</row>
    <row r="2" spans="1:45" ht="36" customHeight="1" x14ac:dyDescent="0.3">
      <c r="A2" s="39" t="s">
        <v>130</v>
      </c>
      <c r="B2" s="91" t="b">
        <v>0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48" t="s">
        <v>21</v>
      </c>
      <c r="N2" s="67"/>
      <c r="O2" s="67"/>
      <c r="P2" s="67"/>
      <c r="Q2" s="67"/>
      <c r="R2" s="67"/>
      <c r="S2" s="99" t="s">
        <v>22</v>
      </c>
      <c r="T2" s="100"/>
      <c r="U2" s="45"/>
      <c r="W2" s="45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</row>
    <row r="3" spans="1:45" ht="33.75" customHeight="1" x14ac:dyDescent="0.3">
      <c r="A3" s="38" t="s">
        <v>59</v>
      </c>
      <c r="B3" s="68" t="str">
        <f ca="1">Masterdata!$D$27</f>
        <v>00:00</v>
      </c>
      <c r="C3" s="46"/>
      <c r="D3" s="29"/>
      <c r="E3" s="29"/>
      <c r="F3" s="29"/>
      <c r="G3" s="29"/>
      <c r="H3" s="29"/>
      <c r="I3" s="29"/>
      <c r="J3" s="29"/>
      <c r="K3" s="88"/>
      <c r="L3" s="46"/>
      <c r="M3" s="89" t="s">
        <v>49</v>
      </c>
      <c r="N3" s="29"/>
      <c r="O3" s="29"/>
      <c r="P3" s="29"/>
      <c r="Q3" s="29"/>
      <c r="R3" s="29"/>
      <c r="S3" s="101" t="s">
        <v>131</v>
      </c>
      <c r="T3" s="102"/>
      <c r="U3" s="45"/>
      <c r="V3" s="45"/>
      <c r="W3" s="45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</row>
    <row r="4" spans="1:45" ht="28.8" x14ac:dyDescent="0.3">
      <c r="A4" s="39" t="s">
        <v>63</v>
      </c>
      <c r="B4" s="68" t="str">
        <f>IF(R40&lt;0,"-"&amp;TEXT(ABS(R40/24),"[tt]:mm"),TEXT(R40/24,"[tt]:mm"))</f>
        <v>00:00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35" t="s">
        <v>23</v>
      </c>
      <c r="N4" s="29"/>
      <c r="O4" s="29"/>
      <c r="P4" s="29"/>
      <c r="Q4" s="29"/>
      <c r="R4" s="29"/>
      <c r="S4" s="101" t="s">
        <v>24</v>
      </c>
      <c r="T4" s="102"/>
      <c r="U4" s="46"/>
      <c r="V4" s="46"/>
      <c r="W4" s="46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</row>
    <row r="5" spans="1:45" ht="59.1" customHeight="1" x14ac:dyDescent="0.3">
      <c r="A5" s="17" t="s">
        <v>2</v>
      </c>
      <c r="B5" s="40">
        <f>Masterdata!$B$5</f>
        <v>2026</v>
      </c>
      <c r="C5" s="29"/>
      <c r="D5" s="29"/>
      <c r="E5" s="29"/>
      <c r="F5" s="29"/>
      <c r="G5" s="29"/>
      <c r="H5" s="29"/>
      <c r="I5" s="29"/>
      <c r="J5" s="29"/>
      <c r="K5" s="29"/>
      <c r="L5" s="29"/>
      <c r="M5" s="35" t="s">
        <v>25</v>
      </c>
      <c r="N5" s="29"/>
      <c r="O5" s="29"/>
      <c r="P5" s="29"/>
      <c r="Q5" s="29"/>
      <c r="R5" s="29"/>
      <c r="S5" s="103" t="s">
        <v>120</v>
      </c>
      <c r="T5" s="104"/>
      <c r="U5" s="47"/>
      <c r="V5" s="47"/>
      <c r="W5" s="47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</row>
    <row r="6" spans="1:45" ht="15" thickBot="1" x14ac:dyDescent="0.35">
      <c r="A6" s="13" t="s">
        <v>20</v>
      </c>
      <c r="B6" s="18">
        <f>B9</f>
        <v>46296</v>
      </c>
      <c r="C6" s="29"/>
      <c r="D6" s="29"/>
      <c r="E6" s="29"/>
      <c r="F6" s="29"/>
      <c r="G6" s="29"/>
      <c r="H6" s="29"/>
      <c r="I6" s="29"/>
      <c r="J6" s="29"/>
      <c r="K6" s="29"/>
      <c r="L6" s="29"/>
      <c r="M6" s="36" t="s">
        <v>26</v>
      </c>
      <c r="N6" s="69"/>
      <c r="O6" s="69"/>
      <c r="P6" s="69"/>
      <c r="Q6" s="69"/>
      <c r="R6" s="69"/>
      <c r="S6" s="105" t="s">
        <v>27</v>
      </c>
      <c r="T6" s="106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</row>
    <row r="7" spans="1:45" ht="15" thickBot="1" x14ac:dyDescent="0.35">
      <c r="A7" s="29"/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87">
        <f>$B$1/24</f>
        <v>1.5416666666666667</v>
      </c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</row>
    <row r="8" spans="1:45" ht="21.75" customHeight="1" thickBot="1" x14ac:dyDescent="0.35">
      <c r="A8" s="4" t="s">
        <v>28</v>
      </c>
      <c r="B8" s="5" t="s">
        <v>29</v>
      </c>
      <c r="C8" s="5" t="s">
        <v>30</v>
      </c>
      <c r="D8" s="5" t="s">
        <v>31</v>
      </c>
      <c r="E8" s="5" t="s">
        <v>32</v>
      </c>
      <c r="F8" s="5" t="s">
        <v>21</v>
      </c>
      <c r="G8" s="5" t="s">
        <v>102</v>
      </c>
      <c r="H8" s="5" t="s">
        <v>129</v>
      </c>
      <c r="I8" s="5" t="s">
        <v>33</v>
      </c>
      <c r="J8" s="6" t="s">
        <v>34</v>
      </c>
      <c r="K8" s="6" t="s">
        <v>35</v>
      </c>
      <c r="L8" s="6" t="s">
        <v>103</v>
      </c>
      <c r="M8" s="5" t="s">
        <v>36</v>
      </c>
      <c r="N8" s="22" t="s">
        <v>37</v>
      </c>
      <c r="O8" s="23" t="s">
        <v>38</v>
      </c>
      <c r="P8" s="23" t="s">
        <v>39</v>
      </c>
      <c r="Q8" s="23"/>
      <c r="R8" s="29"/>
      <c r="S8" s="107" t="s">
        <v>40</v>
      </c>
      <c r="T8" s="108"/>
      <c r="U8" s="29"/>
      <c r="V8" s="29"/>
      <c r="W8" s="29" t="s">
        <v>41</v>
      </c>
      <c r="X8" s="29">
        <v>5</v>
      </c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</row>
    <row r="9" spans="1:45" x14ac:dyDescent="0.3">
      <c r="A9" s="7">
        <f>WEEKNUM($B9,21)</f>
        <v>40</v>
      </c>
      <c r="B9" s="8">
        <f>DATE(Masterdata!$B$5,10,1)</f>
        <v>46296</v>
      </c>
      <c r="C9" s="9" t="str" cm="1">
        <f t="array" ref="C9">_xlfn.XLOOKUP(E9,Masterdata!$B$31:$B$44,Masterdata!$A$31:$A$44,_xlfn.SWITCH(WEEKDAY($D9, 2), 1, "mandag", 2, "tirsdag", 3, "onsdag", 4, "torsdag", 5, "fredag", 6, "lørdag", 7, "søndag"),0)</f>
        <v>torsdag</v>
      </c>
      <c r="D9" s="29">
        <f t="shared" ref="D9:D39" si="0">WEEKDAY($B9, 2)+1</f>
        <v>5</v>
      </c>
      <c r="E9" s="70">
        <f>$B9</f>
        <v>46296</v>
      </c>
      <c r="F9" s="10" t="s">
        <v>23</v>
      </c>
      <c r="G9" s="12">
        <f>IF(OR(AND(F9="N",NOT(OR(C9="mandag",C9="tirsdag",C9="onsdag",C9="torsdag",C9="fredag"))),F9="F"),0,
        IF(OR(
            AND(Masterdata!$B$4&lt;&gt;DATE(1900,1,0), Masterdata!$B$4&lt;$E9),
            AND(Masterdata!$B$3&lt;&gt;DATE(1900,1,0), Masterdata!$B$3&gt;$E9)
        ),
        0, $X$7/(5-H9)))</f>
        <v>0.30833333333333335</v>
      </c>
      <c r="H9" s="86">
        <f>SUMPRODUCT(COUNTIFS(September!$A$9:$A$39,$A9,September!$D$9:$D$39,"&lt;7",September!$F$9:$F$39,"F")+COUNTIFS($A$9:$A$38,$A9,$D$9:$D$38,"&lt;7",$F$9:$F$38,"F")+COUNTIFS(November!$A$9:$A$39,$A9,November!$D$9:$D$39,"&lt;7",November!$F$9:$F$39,"F"))</f>
        <v>0</v>
      </c>
      <c r="I9" s="11">
        <v>0</v>
      </c>
      <c r="J9" s="11">
        <v>0</v>
      </c>
      <c r="K9" s="11">
        <v>0</v>
      </c>
      <c r="L9" s="26" t="str">
        <f t="shared" ref="L9:L15" si="1">IF($F9="F","00:00",
IF($F9="N",TEXT($G9,"[tt]:mm"),
IF($I9&lt;&gt;0,TEXT($I9,"[tt]:mm"),
IF($K9-$J9&gt;=0,
TEXT($K9-$J9,"[tt]:mm"),
"-"&amp;TEXT(ABS($K9-$J9),"[tt]:mm")))))</f>
        <v>07:24</v>
      </c>
      <c r="M9" s="26" t="str">
        <f>IF(OR(F9="N",F9="F"),"0:00",
IF(
OR(
AND(Masterdata!$B$4&lt;&gt;DATE(1900,1,0),Masterdata!$B$4&lt;$E9),
AND(Masterdata!$B$3&lt;&gt;DATE(1900,1,0),Masterdata!$B$3&gt;$E9)
),"0:00",
IF(
$I9&gt;TIME(0,0,0),
IF(
NOT(OR($C9="mandag",$C9="tirsdag",$C9="onsdag",$C9="torsdag",$C9="fredag")),
TEXT($I9,"[tt]:mm"),
IF($I9-$G9&gt;=0,TEXT($I9-$G9,"[tt]:mm"),"-"&amp;TEXT(ABS($I9-$G9),"[tt]:mm"))
),
IF(
NOT(OR($C9="mandag",$C9="tirsdag",$C9="onsdag",$C9="torsdag",$C9="fredag")),
IF($K9-$J9&gt;=0,TEXT($K9-$J9,"[tt]:mm"),"-"&amp;TEXT(ABS($K9-$J9),"[tt]:mm")),
IF(
$K9-$J9-$G9&gt;=0,
TEXT($K9-$J9-$G9,"[tt]:mm"),
"-"&amp;TEXT(ABS($K9-$J9-$G9),"[tt]:mm")
)
)
)
))</f>
        <v>0:00</v>
      </c>
      <c r="N9" s="71" t="str">
        <f>LEFT(M9,1)</f>
        <v>0</v>
      </c>
      <c r="O9" s="25" t="str">
        <f>IF($N9="-",LEFT($M9,3),LEFT($M9,2))</f>
        <v>0:</v>
      </c>
      <c r="P9" s="52" t="str">
        <f>IF($N9="-",MID($M9,5,2),MID($M9,4,2))</f>
        <v>0</v>
      </c>
      <c r="Q9" s="53">
        <f>P9/60</f>
        <v>0</v>
      </c>
      <c r="R9" s="30">
        <f>IF(N9="-",O9-Q9,O9+Q9)</f>
        <v>0</v>
      </c>
      <c r="S9" s="109"/>
      <c r="T9" s="109"/>
      <c r="U9" s="29"/>
      <c r="V9" s="29"/>
      <c r="W9" s="29" t="s">
        <v>42</v>
      </c>
      <c r="X9" s="72">
        <f>$B$1/X8</f>
        <v>7.4</v>
      </c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</row>
    <row r="10" spans="1:45" x14ac:dyDescent="0.3">
      <c r="A10" s="7">
        <f t="shared" ref="A10:A39" si="2">WEEKNUM($B10,21)</f>
        <v>40</v>
      </c>
      <c r="B10" s="8">
        <f>B9+1</f>
        <v>46297</v>
      </c>
      <c r="C10" s="9" t="str" cm="1">
        <f t="array" ref="C10">_xlfn.XLOOKUP(E10,Masterdata!$B$31:$B$44,Masterdata!$A$31:$A$44,_xlfn.SWITCH(WEEKDAY($D10, 2), 1, "mandag", 2, "tirsdag", 3, "onsdag", 4, "torsdag", 5, "fredag", 6, "lørdag", 7, "søndag"),0)</f>
        <v>fredag</v>
      </c>
      <c r="D10" s="29">
        <f t="shared" si="0"/>
        <v>6</v>
      </c>
      <c r="E10" s="70">
        <f t="shared" ref="E10:E39" si="3">$B10</f>
        <v>46297</v>
      </c>
      <c r="F10" s="10" t="s">
        <v>23</v>
      </c>
      <c r="G10" s="12">
        <f>IF(OR(AND(F10="N",NOT(OR(C10="mandag",C10="tirsdag",C10="onsdag",C10="torsdag",C10="fredag"))),F10="F"),0,
        IF(OR(
            AND(Masterdata!$B$4&lt;&gt;DATE(1900,1,0), Masterdata!$B$4&lt;$E10),
            AND(Masterdata!$B$3&lt;&gt;DATE(1900,1,0), Masterdata!$B$3&gt;$E10)
        ),
        0, $X$7/(5-H10)))</f>
        <v>0.30833333333333335</v>
      </c>
      <c r="H10" s="86">
        <f>SUMPRODUCT(COUNTIFS(September!$A$9:$A$39,$A10,September!$D$9:$D$39,"&lt;7",September!$F$9:$F$39,"F")+COUNTIFS($A$9:$A$38,$A10,$D$9:$D$38,"&lt;7",$F$9:$F$38,"F")+COUNTIFS(November!$A$9:$A$39,$A10,November!$D$9:$D$39,"&lt;7",November!$F$9:$F$39,"F"))</f>
        <v>0</v>
      </c>
      <c r="I10" s="11">
        <v>0</v>
      </c>
      <c r="J10" s="11">
        <v>0</v>
      </c>
      <c r="K10" s="11">
        <v>0</v>
      </c>
      <c r="L10" s="26" t="str">
        <f t="shared" si="1"/>
        <v>07:24</v>
      </c>
      <c r="M10" s="26" t="str">
        <f>IF(OR(F10="N",F10="F"),"0:00",
IF(
OR(
AND(Masterdata!$B$4&lt;&gt;DATE(1900,1,0),Masterdata!$B$4&lt;$E10),
AND(Masterdata!$B$3&lt;&gt;DATE(1900,1,0),Masterdata!$B$3&gt;$E10)
),"0:00",
IF(
$I10&gt;TIME(0,0,0),
IF(
NOT(OR($C10="mandag",$C10="tirsdag",$C10="onsdag",$C10="torsdag",$C10="fredag")),
TEXT($I10,"[tt]:mm"),
IF($I10-$G10&gt;=0,TEXT($I10-$G10,"[tt]:mm"),"-"&amp;TEXT(ABS($I10-$G10),"[tt]:mm"))
),
IF(
NOT(OR($C10="mandag",$C10="tirsdag",$C10="onsdag",$C10="torsdag",$C10="fredag")),
IF($K10-$J10&gt;=0,TEXT($K10-$J10,"[tt]:mm"),"-"&amp;TEXT(ABS($K10-$J10),"[tt]:mm")),
IF(
$K10-$J10-$G10&gt;=0,
TEXT($K10-$J10-$G10,"[tt]:mm"),
"-"&amp;TEXT(ABS($K10-$J10-$G10),"[tt]:mm")
)
)
)
))</f>
        <v>0:00</v>
      </c>
      <c r="N10" s="71" t="str">
        <f t="shared" ref="N10:N20" si="4">LEFT(M10,1)</f>
        <v>0</v>
      </c>
      <c r="O10" s="25" t="str">
        <f t="shared" ref="O10:O39" si="5">IF($N10="-",LEFT($M10,3),LEFT($M10,2))</f>
        <v>0:</v>
      </c>
      <c r="P10" s="52" t="str">
        <f t="shared" ref="P10:P39" si="6">IF($N10="-",MID($M10,5,2),MID($M10,4,2))</f>
        <v>0</v>
      </c>
      <c r="Q10" s="53">
        <f t="shared" ref="Q10:Q14" si="7">P10/60</f>
        <v>0</v>
      </c>
      <c r="R10" s="30">
        <f t="shared" ref="R10:R14" si="8">IF(N10="-",O10-Q10,O10+Q10)</f>
        <v>0</v>
      </c>
      <c r="S10" s="109"/>
      <c r="T10" s="109"/>
      <c r="U10" s="29"/>
      <c r="V10" s="29"/>
      <c r="W10" s="29" t="s">
        <v>43</v>
      </c>
      <c r="X10" s="73">
        <f>X9/24</f>
        <v>0.30833333333333335</v>
      </c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</row>
    <row r="11" spans="1:45" x14ac:dyDescent="0.3">
      <c r="A11" s="7">
        <f t="shared" si="2"/>
        <v>40</v>
      </c>
      <c r="B11" s="8">
        <f t="shared" ref="B11:B39" si="9">B10+1</f>
        <v>46298</v>
      </c>
      <c r="C11" s="9" t="str" cm="1">
        <f t="array" ref="C11">_xlfn.XLOOKUP(E11,Masterdata!$B$31:$B$44,Masterdata!$A$31:$A$44,_xlfn.SWITCH(WEEKDAY($D11, 2), 1, "mandag", 2, "tirsdag", 3, "onsdag", 4, "torsdag", 5, "fredag", 6, "lørdag", 7, "søndag"),0)</f>
        <v>lørdag</v>
      </c>
      <c r="D11" s="29">
        <f t="shared" si="0"/>
        <v>7</v>
      </c>
      <c r="E11" s="70">
        <f t="shared" si="3"/>
        <v>46298</v>
      </c>
      <c r="F11" s="10" t="s">
        <v>23</v>
      </c>
      <c r="G11" s="12">
        <f>IF(OR(AND(F11="N",NOT(OR(C11="mandag",C11="tirsdag",C11="onsdag",C11="torsdag",C11="fredag"))),F11="F"),0,
        IF(OR(
            AND(Masterdata!$B$4&lt;&gt;DATE(1900,1,0), Masterdata!$B$4&lt;$E11),
            AND(Masterdata!$B$3&lt;&gt;DATE(1900,1,0), Masterdata!$B$3&gt;$E11)
        ),
        0, $X$7/(5-H11)))</f>
        <v>0</v>
      </c>
      <c r="H11" s="86">
        <f>SUMPRODUCT(COUNTIFS(September!$A$9:$A$39,$A11,September!$D$9:$D$39,"&lt;7",September!$F$9:$F$39,"F")+COUNTIFS($A$9:$A$38,$A11,$D$9:$D$38,"&lt;7",$F$9:$F$38,"F")+COUNTIFS(November!$A$9:$A$39,$A11,November!$D$9:$D$39,"&lt;7",November!$F$9:$F$39,"F"))</f>
        <v>0</v>
      </c>
      <c r="I11" s="11">
        <v>0</v>
      </c>
      <c r="J11" s="11">
        <v>0</v>
      </c>
      <c r="K11" s="11">
        <v>0</v>
      </c>
      <c r="L11" s="26" t="str">
        <f t="shared" si="1"/>
        <v>00:00</v>
      </c>
      <c r="M11" s="26" t="str">
        <f>IF(OR(F11="N",F11="F"),"0:00",
IF(
OR(
AND(Masterdata!$B$4&lt;&gt;DATE(1900,1,0),Masterdata!$B$4&lt;$E11),
AND(Masterdata!$B$3&lt;&gt;DATE(1900,1,0),Masterdata!$B$3&gt;$E11)
),"0:00",
IF(
$I11&gt;TIME(0,0,0),
IF(
NOT(OR($C11="mandag",$C11="tirsdag",$C11="onsdag",$C11="torsdag",$C11="fredag")),
TEXT($I11,"[tt]:mm"),
IF($I11-$G11&gt;=0,TEXT($I11-$G11,"[tt]:mm"),"-"&amp;TEXT(ABS($I11-$G11),"[tt]:mm"))
),
IF(
NOT(OR($C11="mandag",$C11="tirsdag",$C11="onsdag",$C11="torsdag",$C11="fredag")),
IF($K11-$J11&gt;=0,TEXT($K11-$J11,"[tt]:mm"),"-"&amp;TEXT(ABS($K11-$J11),"[tt]:mm")),
IF(
$K11-$J11-$G11&gt;=0,
TEXT($K11-$J11-$G11,"[tt]:mm"),
"-"&amp;TEXT(ABS($K11-$J11-$G11),"[tt]:mm")
)
)
)
))</f>
        <v>0:00</v>
      </c>
      <c r="N11" s="71" t="str">
        <f t="shared" si="4"/>
        <v>0</v>
      </c>
      <c r="O11" s="25" t="str">
        <f t="shared" si="5"/>
        <v>0:</v>
      </c>
      <c r="P11" s="52" t="str">
        <f t="shared" si="6"/>
        <v>0</v>
      </c>
      <c r="Q11" s="53">
        <f t="shared" si="7"/>
        <v>0</v>
      </c>
      <c r="R11" s="30">
        <f t="shared" si="8"/>
        <v>0</v>
      </c>
      <c r="S11" s="109"/>
      <c r="T11" s="109"/>
      <c r="U11" s="29" t="s">
        <v>23</v>
      </c>
      <c r="V11" s="29" t="s">
        <v>44</v>
      </c>
      <c r="W11" s="29" t="s">
        <v>45</v>
      </c>
      <c r="X11" s="30">
        <f>(B1/37)*160.33</f>
        <v>160.33000000000001</v>
      </c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</row>
    <row r="12" spans="1:45" x14ac:dyDescent="0.3">
      <c r="A12" s="7">
        <f t="shared" si="2"/>
        <v>40</v>
      </c>
      <c r="B12" s="8">
        <f t="shared" si="9"/>
        <v>46299</v>
      </c>
      <c r="C12" s="9" t="str" cm="1">
        <f t="array" ref="C12">_xlfn.XLOOKUP(E12,Masterdata!$B$31:$B$44,Masterdata!$A$31:$A$44,_xlfn.SWITCH(WEEKDAY($D12, 2), 1, "mandag", 2, "tirsdag", 3, "onsdag", 4, "torsdag", 5, "fredag", 6, "lørdag", 7, "søndag"),0)</f>
        <v>søndag</v>
      </c>
      <c r="D12" s="29">
        <f t="shared" si="0"/>
        <v>8</v>
      </c>
      <c r="E12" s="70">
        <f t="shared" si="3"/>
        <v>46299</v>
      </c>
      <c r="F12" s="10" t="s">
        <v>23</v>
      </c>
      <c r="G12" s="12">
        <f>IF(OR(AND(F12="N",NOT(OR(C12="mandag",C12="tirsdag",C12="onsdag",C12="torsdag",C12="fredag"))),F12="F"),0,
        IF(OR(
            AND(Masterdata!$B$4&lt;&gt;DATE(1900,1,0), Masterdata!$B$4&lt;$E12),
            AND(Masterdata!$B$3&lt;&gt;DATE(1900,1,0), Masterdata!$B$3&gt;$E12)
        ),
        0, $X$7/(5-H12)))</f>
        <v>0</v>
      </c>
      <c r="H12" s="86">
        <f>SUMPRODUCT(COUNTIFS(September!$A$9:$A$39,$A12,September!$D$9:$D$39,"&lt;7",September!$F$9:$F$39,"F")+COUNTIFS($A$9:$A$38,$A12,$D$9:$D$38,"&lt;7",$F$9:$F$38,"F")+COUNTIFS(November!$A$9:$A$39,$A12,November!$D$9:$D$39,"&lt;7",November!$F$9:$F$39,"F"))</f>
        <v>0</v>
      </c>
      <c r="I12" s="11">
        <v>0</v>
      </c>
      <c r="J12" s="11">
        <v>0</v>
      </c>
      <c r="K12" s="11">
        <v>0</v>
      </c>
      <c r="L12" s="26" t="str">
        <f t="shared" si="1"/>
        <v>00:00</v>
      </c>
      <c r="M12" s="26" t="str">
        <f>IF(OR(F12="N",F12="F"),"0:00",
IF(
OR(
AND(Masterdata!$B$4&lt;&gt;DATE(1900,1,0),Masterdata!$B$4&lt;$E12),
AND(Masterdata!$B$3&lt;&gt;DATE(1900,1,0),Masterdata!$B$3&gt;$E12)
),"0:00",
IF(
$I12&gt;TIME(0,0,0),
IF(
NOT(OR($C12="mandag",$C12="tirsdag",$C12="onsdag",$C12="torsdag",$C12="fredag")),
TEXT($I12,"[tt]:mm"),
IF($I12-$G12&gt;=0,TEXT($I12-$G12,"[tt]:mm"),"-"&amp;TEXT(ABS($I12-$G12),"[tt]:mm"))
),
IF(
NOT(OR($C12="mandag",$C12="tirsdag",$C12="onsdag",$C12="torsdag",$C12="fredag")),
IF($K12-$J12&gt;=0,TEXT($K12-$J12,"[tt]:mm"),"-"&amp;TEXT(ABS($K12-$J12),"[tt]:mm")),
IF(
$K12-$J12-$G12&gt;=0,
TEXT($K12-$J12-$G12,"[tt]:mm"),
"-"&amp;TEXT(ABS($K12-$J12-$G12),"[tt]:mm")
)
)
)
))</f>
        <v>0:00</v>
      </c>
      <c r="N12" s="71" t="str">
        <f t="shared" si="4"/>
        <v>0</v>
      </c>
      <c r="O12" s="25" t="str">
        <f t="shared" si="5"/>
        <v>0:</v>
      </c>
      <c r="P12" s="52" t="str">
        <f t="shared" si="6"/>
        <v>0</v>
      </c>
      <c r="Q12" s="53">
        <f t="shared" si="7"/>
        <v>0</v>
      </c>
      <c r="R12" s="30">
        <f t="shared" si="8"/>
        <v>0</v>
      </c>
      <c r="S12" s="109"/>
      <c r="T12" s="10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</row>
    <row r="13" spans="1:45" x14ac:dyDescent="0.3">
      <c r="A13" s="7">
        <f t="shared" si="2"/>
        <v>41</v>
      </c>
      <c r="B13" s="8">
        <f t="shared" si="9"/>
        <v>46300</v>
      </c>
      <c r="C13" s="9" t="str" cm="1">
        <f t="array" ref="C13">_xlfn.XLOOKUP(E13,Masterdata!$B$31:$B$44,Masterdata!$A$31:$A$44,_xlfn.SWITCH(WEEKDAY($D13, 2), 1, "mandag", 2, "tirsdag", 3, "onsdag", 4, "torsdag", 5, "fredag", 6, "lørdag", 7, "søndag"),0)</f>
        <v>mandag</v>
      </c>
      <c r="D13" s="29">
        <f t="shared" si="0"/>
        <v>2</v>
      </c>
      <c r="E13" s="70">
        <f t="shared" si="3"/>
        <v>46300</v>
      </c>
      <c r="F13" s="10" t="s">
        <v>23</v>
      </c>
      <c r="G13" s="12">
        <f>IF(OR(AND(F13="N",NOT(OR(C13="mandag",C13="tirsdag",C13="onsdag",C13="torsdag",C13="fredag"))),F13="F"),0,
        IF(OR(
            AND(Masterdata!$B$4&lt;&gt;DATE(1900,1,0), Masterdata!$B$4&lt;$E13),
            AND(Masterdata!$B$3&lt;&gt;DATE(1900,1,0), Masterdata!$B$3&gt;$E13)
        ),
        0, $X$7/(5-H13)))</f>
        <v>0.30833333333333335</v>
      </c>
      <c r="H13" s="86">
        <f>SUMPRODUCT(COUNTIFS(September!$A$9:$A$39,$A13,September!$D$9:$D$39,"&lt;7",September!$F$9:$F$39,"F")+COUNTIFS($A$9:$A$38,$A13,$D$9:$D$38,"&lt;7",$F$9:$F$38,"F")+COUNTIFS(November!$A$9:$A$39,$A13,November!$D$9:$D$39,"&lt;7",November!$F$9:$F$39,"F"))</f>
        <v>0</v>
      </c>
      <c r="I13" s="11">
        <v>0</v>
      </c>
      <c r="J13" s="11">
        <v>0</v>
      </c>
      <c r="K13" s="11">
        <v>0</v>
      </c>
      <c r="L13" s="26" t="str">
        <f t="shared" si="1"/>
        <v>07:24</v>
      </c>
      <c r="M13" s="26" t="str">
        <f>IF(OR(F13="N",F13="F"),"0:00",
IF(
OR(
AND(Masterdata!$B$4&lt;&gt;DATE(1900,1,0),Masterdata!$B$4&lt;$E13),
AND(Masterdata!$B$3&lt;&gt;DATE(1900,1,0),Masterdata!$B$3&gt;$E13)
),"0:00",
IF(
$I13&gt;TIME(0,0,0),
IF(
NOT(OR($C13="mandag",$C13="tirsdag",$C13="onsdag",$C13="torsdag",$C13="fredag")),
TEXT($I13,"[tt]:mm"),
IF($I13-$G13&gt;=0,TEXT($I13-$G13,"[tt]:mm"),"-"&amp;TEXT(ABS($I13-$G13),"[tt]:mm"))
),
IF(
NOT(OR($C13="mandag",$C13="tirsdag",$C13="onsdag",$C13="torsdag",$C13="fredag")),
IF($K13-$J13&gt;=0,TEXT($K13-$J13,"[tt]:mm"),"-"&amp;TEXT(ABS($K13-$J13),"[tt]:mm")),
IF(
$K13-$J13-$G13&gt;=0,
TEXT($K13-$J13-$G13,"[tt]:mm"),
"-"&amp;TEXT(ABS($K13-$J13-$G13),"[tt]:mm")
)
)
)
))</f>
        <v>0:00</v>
      </c>
      <c r="N13" s="71" t="str">
        <f t="shared" si="4"/>
        <v>0</v>
      </c>
      <c r="O13" s="25" t="str">
        <f t="shared" si="5"/>
        <v>0:</v>
      </c>
      <c r="P13" s="52" t="str">
        <f t="shared" si="6"/>
        <v>0</v>
      </c>
      <c r="Q13" s="53">
        <f t="shared" si="7"/>
        <v>0</v>
      </c>
      <c r="R13" s="30">
        <f t="shared" si="8"/>
        <v>0</v>
      </c>
      <c r="S13" s="109"/>
      <c r="T13" s="109"/>
      <c r="U13" s="29"/>
      <c r="V13" s="29"/>
      <c r="W13" s="29"/>
      <c r="X13" s="30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</row>
    <row r="14" spans="1:45" x14ac:dyDescent="0.3">
      <c r="A14" s="7">
        <f t="shared" si="2"/>
        <v>41</v>
      </c>
      <c r="B14" s="8">
        <f t="shared" si="9"/>
        <v>46301</v>
      </c>
      <c r="C14" s="9" t="str" cm="1">
        <f t="array" ref="C14">_xlfn.XLOOKUP(E14,Masterdata!$B$31:$B$44,Masterdata!$A$31:$A$44,_xlfn.SWITCH(WEEKDAY($D14, 2), 1, "mandag", 2, "tirsdag", 3, "onsdag", 4, "torsdag", 5, "fredag", 6, "lørdag", 7, "søndag"),0)</f>
        <v>tirsdag</v>
      </c>
      <c r="D14" s="29">
        <f t="shared" si="0"/>
        <v>3</v>
      </c>
      <c r="E14" s="70">
        <f t="shared" si="3"/>
        <v>46301</v>
      </c>
      <c r="F14" s="10" t="s">
        <v>23</v>
      </c>
      <c r="G14" s="12">
        <f>IF(OR(AND(F14="N",NOT(OR(C14="mandag",C14="tirsdag",C14="onsdag",C14="torsdag",C14="fredag"))),F14="F"),0,
        IF(OR(
            AND(Masterdata!$B$4&lt;&gt;DATE(1900,1,0), Masterdata!$B$4&lt;$E14),
            AND(Masterdata!$B$3&lt;&gt;DATE(1900,1,0), Masterdata!$B$3&gt;$E14)
        ),
        0, $X$7/(5-H14)))</f>
        <v>0.30833333333333335</v>
      </c>
      <c r="H14" s="86">
        <f>SUMPRODUCT(COUNTIFS(September!$A$9:$A$39,$A14,September!$D$9:$D$39,"&lt;7",September!$F$9:$F$39,"F")+COUNTIFS($A$9:$A$38,$A14,$D$9:$D$38,"&lt;7",$F$9:$F$38,"F")+COUNTIFS(November!$A$9:$A$39,$A14,November!$D$9:$D$39,"&lt;7",November!$F$9:$F$39,"F"))</f>
        <v>0</v>
      </c>
      <c r="I14" s="11">
        <v>0</v>
      </c>
      <c r="J14" s="11">
        <v>0</v>
      </c>
      <c r="K14" s="11">
        <v>0</v>
      </c>
      <c r="L14" s="26" t="str">
        <f t="shared" si="1"/>
        <v>07:24</v>
      </c>
      <c r="M14" s="26" t="str">
        <f>IF(OR(F14="N",F14="F"),"0:00",
IF(
OR(
AND(Masterdata!$B$4&lt;&gt;DATE(1900,1,0),Masterdata!$B$4&lt;$E14),
AND(Masterdata!$B$3&lt;&gt;DATE(1900,1,0),Masterdata!$B$3&gt;$E14)
),"0:00",
IF(
$I14&gt;TIME(0,0,0),
IF(
NOT(OR($C14="mandag",$C14="tirsdag",$C14="onsdag",$C14="torsdag",$C14="fredag")),
TEXT($I14,"[tt]:mm"),
IF($I14-$G14&gt;=0,TEXT($I14-$G14,"[tt]:mm"),"-"&amp;TEXT(ABS($I14-$G14),"[tt]:mm"))
),
IF(
NOT(OR($C14="mandag",$C14="tirsdag",$C14="onsdag",$C14="torsdag",$C14="fredag")),
IF($K14-$J14&gt;=0,TEXT($K14-$J14,"[tt]:mm"),"-"&amp;TEXT(ABS($K14-$J14),"[tt]:mm")),
IF(
$K14-$J14-$G14&gt;=0,
TEXT($K14-$J14-$G14,"[tt]:mm"),
"-"&amp;TEXT(ABS($K14-$J14-$G14),"[tt]:mm")
)
)
)
))</f>
        <v>0:00</v>
      </c>
      <c r="N14" s="71" t="str">
        <f t="shared" si="4"/>
        <v>0</v>
      </c>
      <c r="O14" s="25" t="str">
        <f t="shared" si="5"/>
        <v>0:</v>
      </c>
      <c r="P14" s="52" t="str">
        <f t="shared" si="6"/>
        <v>0</v>
      </c>
      <c r="Q14" s="53">
        <f t="shared" si="7"/>
        <v>0</v>
      </c>
      <c r="R14" s="30">
        <f t="shared" si="8"/>
        <v>0</v>
      </c>
      <c r="S14" s="98"/>
      <c r="T14" s="98"/>
      <c r="U14" s="29"/>
      <c r="V14" s="29"/>
      <c r="W14" s="29"/>
      <c r="X14" s="74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</row>
    <row r="15" spans="1:45" x14ac:dyDescent="0.3">
      <c r="A15" s="7">
        <f t="shared" si="2"/>
        <v>41</v>
      </c>
      <c r="B15" s="8">
        <f t="shared" si="9"/>
        <v>46302</v>
      </c>
      <c r="C15" s="9" t="str" cm="1">
        <f t="array" ref="C15">_xlfn.XLOOKUP(E15,Masterdata!$B$31:$B$44,Masterdata!$A$31:$A$44,_xlfn.SWITCH(WEEKDAY($D15, 2), 1, "mandag", 2, "tirsdag", 3, "onsdag", 4, "torsdag", 5, "fredag", 6, "lørdag", 7, "søndag"),0)</f>
        <v>onsdag</v>
      </c>
      <c r="D15" s="29">
        <f t="shared" si="0"/>
        <v>4</v>
      </c>
      <c r="E15" s="70">
        <f t="shared" si="3"/>
        <v>46302</v>
      </c>
      <c r="F15" s="10" t="s">
        <v>23</v>
      </c>
      <c r="G15" s="12">
        <f>IF(OR(AND(F15="N",NOT(OR(C15="mandag",C15="tirsdag",C15="onsdag",C15="torsdag",C15="fredag"))),F15="F"),0,
        IF(OR(
            AND(Masterdata!$B$4&lt;&gt;DATE(1900,1,0), Masterdata!$B$4&lt;$E15),
            AND(Masterdata!$B$3&lt;&gt;DATE(1900,1,0), Masterdata!$B$3&gt;$E15)
        ),
        0, $X$7/(5-H15)))</f>
        <v>0.30833333333333335</v>
      </c>
      <c r="H15" s="86">
        <f>SUMPRODUCT(COUNTIFS(September!$A$9:$A$39,$A15,September!$D$9:$D$39,"&lt;7",September!$F$9:$F$39,"F")+COUNTIFS($A$9:$A$38,$A15,$D$9:$D$38,"&lt;7",$F$9:$F$38,"F")+COUNTIFS(November!$A$9:$A$39,$A15,November!$D$9:$D$39,"&lt;7",November!$F$9:$F$39,"F"))</f>
        <v>0</v>
      </c>
      <c r="I15" s="11">
        <v>0</v>
      </c>
      <c r="J15" s="11">
        <v>0</v>
      </c>
      <c r="K15" s="11">
        <v>0</v>
      </c>
      <c r="L15" s="26" t="str">
        <f t="shared" si="1"/>
        <v>07:24</v>
      </c>
      <c r="M15" s="26" t="str">
        <f>IF(OR(F15="N",F15="F"),"0:00",
IF(
OR(
AND(Masterdata!$B$4&lt;&gt;DATE(1900,1,0),Masterdata!$B$4&lt;$E15),
AND(Masterdata!$B$3&lt;&gt;DATE(1900,1,0),Masterdata!$B$3&gt;$E15)
),"0:00",
IF(
$I15&gt;TIME(0,0,0),
IF(
NOT(OR($C15="mandag",$C15="tirsdag",$C15="onsdag",$C15="torsdag",$C15="fredag")),
TEXT($I15,"[tt]:mm"),
IF($I15-$G15&gt;=0,TEXT($I15-$G15,"[tt]:mm"),"-"&amp;TEXT(ABS($I15-$G15),"[tt]:mm"))
),
IF(
NOT(OR($C15="mandag",$C15="tirsdag",$C15="onsdag",$C15="torsdag",$C15="fredag")),
IF($K15-$J15&gt;=0,TEXT($K15-$J15,"[tt]:mm"),"-"&amp;TEXT(ABS($K15-$J15),"[tt]:mm")),
IF(
$K15-$J15-$G15&gt;=0,
TEXT($K15-$J15-$G15,"[tt]:mm"),
"-"&amp;TEXT(ABS($K15-$J15-$G15),"[tt]:mm")
)
)
)
))</f>
        <v>0:00</v>
      </c>
      <c r="N15" s="71" t="str">
        <f t="shared" si="4"/>
        <v>0</v>
      </c>
      <c r="O15" s="25" t="str">
        <f t="shared" si="5"/>
        <v>0:</v>
      </c>
      <c r="P15" s="52" t="str">
        <f t="shared" si="6"/>
        <v>0</v>
      </c>
      <c r="Q15" s="53">
        <f>P15/60</f>
        <v>0</v>
      </c>
      <c r="R15" s="30">
        <f>IF(N15="-",O15-Q15,O15+Q15)</f>
        <v>0</v>
      </c>
      <c r="S15" s="98"/>
      <c r="T15" s="98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</row>
    <row r="16" spans="1:45" x14ac:dyDescent="0.3">
      <c r="A16" s="7">
        <f t="shared" si="2"/>
        <v>41</v>
      </c>
      <c r="B16" s="8">
        <f t="shared" si="9"/>
        <v>46303</v>
      </c>
      <c r="C16" s="9" t="str" cm="1">
        <f t="array" ref="C16">_xlfn.XLOOKUP(E16,Masterdata!$B$31:$B$44,Masterdata!$A$31:$A$44,_xlfn.SWITCH(WEEKDAY($D16, 2), 1, "mandag", 2, "tirsdag", 3, "onsdag", 4, "torsdag", 5, "fredag", 6, "lørdag", 7, "søndag"),0)</f>
        <v>torsdag</v>
      </c>
      <c r="D16" s="29">
        <f t="shared" si="0"/>
        <v>5</v>
      </c>
      <c r="E16" s="70">
        <f t="shared" si="3"/>
        <v>46303</v>
      </c>
      <c r="F16" s="10" t="s">
        <v>23</v>
      </c>
      <c r="G16" s="12">
        <f>IF(OR(AND(F16="N",NOT(OR(C16="mandag",C16="tirsdag",C16="onsdag",C16="torsdag",C16="fredag"))),F16="F"),0,
        IF(OR(
            AND(Masterdata!$B$4&lt;&gt;DATE(1900,1,0), Masterdata!$B$4&lt;$E16),
            AND(Masterdata!$B$3&lt;&gt;DATE(1900,1,0), Masterdata!$B$3&gt;$E16)
        ),
        0, $X$7/(5-H16)))</f>
        <v>0.30833333333333335</v>
      </c>
      <c r="H16" s="86">
        <f>SUMPRODUCT(COUNTIFS(September!$A$9:$A$39,$A16,September!$D$9:$D$39,"&lt;7",September!$F$9:$F$39,"F")+COUNTIFS($A$9:$A$38,$A16,$D$9:$D$38,"&lt;7",$F$9:$F$38,"F")+COUNTIFS(November!$A$9:$A$39,$A16,November!$D$9:$D$39,"&lt;7",November!$F$9:$F$39,"F"))</f>
        <v>0</v>
      </c>
      <c r="I16" s="11">
        <v>0</v>
      </c>
      <c r="J16" s="11">
        <v>0</v>
      </c>
      <c r="K16" s="11">
        <v>0</v>
      </c>
      <c r="L16" s="26" t="str">
        <f>IF($F16="F","00:00",
IF($F16="N",TEXT($G16,"[tt]:mm"),
IF($I16&lt;&gt;0,TEXT($I16,"[tt]:mm"),
IF($K16-$J16&gt;=0,
TEXT($K16-$J16,"[tt]:mm"),
"-"&amp;TEXT(ABS($K16-$J16),"[tt]:mm")))))</f>
        <v>07:24</v>
      </c>
      <c r="M16" s="26" t="str">
        <f>IF(OR(F16="N",F16="F"),"0:00",
IF(
OR(
AND(Masterdata!$B$4&lt;&gt;DATE(1900,1,0),Masterdata!$B$4&lt;$E16),
AND(Masterdata!$B$3&lt;&gt;DATE(1900,1,0),Masterdata!$B$3&gt;$E16)
),"0:00",
IF(
$I16&gt;TIME(0,0,0),
IF(
NOT(OR($C16="mandag",$C16="tirsdag",$C16="onsdag",$C16="torsdag",$C16="fredag")),
TEXT($I16,"[tt]:mm"),
IF($I16-$G16&gt;=0,TEXT($I16-$G16,"[tt]:mm"),"-"&amp;TEXT(ABS($I16-$G16),"[tt]:mm"))
),
IF(
NOT(OR($C16="mandag",$C16="tirsdag",$C16="onsdag",$C16="torsdag",$C16="fredag")),
IF($K16-$J16&gt;=0,TEXT($K16-$J16,"[tt]:mm"),"-"&amp;TEXT(ABS($K16-$J16),"[tt]:mm")),
IF(
$K16-$J16-$G16&gt;=0,
TEXT($K16-$J16-$G16,"[tt]:mm"),
"-"&amp;TEXT(ABS($K16-$J16-$G16),"[tt]:mm")
)
)
)
))</f>
        <v>0:00</v>
      </c>
      <c r="N16" s="71" t="str">
        <f t="shared" si="4"/>
        <v>0</v>
      </c>
      <c r="O16" s="25" t="str">
        <f t="shared" si="5"/>
        <v>0:</v>
      </c>
      <c r="P16" s="52" t="str">
        <f t="shared" si="6"/>
        <v>0</v>
      </c>
      <c r="Q16" s="53">
        <f t="shared" ref="Q16:Q33" si="10">P16/60</f>
        <v>0</v>
      </c>
      <c r="R16" s="30">
        <f t="shared" ref="R16:R20" si="11">IF(N16="-",O16-Q16,O16+Q16)</f>
        <v>0</v>
      </c>
      <c r="S16" s="98"/>
      <c r="T16" s="98"/>
      <c r="U16" s="29" t="s">
        <v>46</v>
      </c>
      <c r="V16" s="29" t="s">
        <v>47</v>
      </c>
      <c r="W16" s="29" t="s">
        <v>48</v>
      </c>
      <c r="X16" s="30">
        <f>X11-X14</f>
        <v>160.33000000000001</v>
      </c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</row>
    <row r="17" spans="1:45" x14ac:dyDescent="0.3">
      <c r="A17" s="7">
        <f t="shared" si="2"/>
        <v>41</v>
      </c>
      <c r="B17" s="8">
        <f t="shared" si="9"/>
        <v>46304</v>
      </c>
      <c r="C17" s="9" t="str" cm="1">
        <f t="array" ref="C17">_xlfn.XLOOKUP(E17,Masterdata!$B$31:$B$44,Masterdata!$A$31:$A$44,_xlfn.SWITCH(WEEKDAY($D17, 2), 1, "mandag", 2, "tirsdag", 3, "onsdag", 4, "torsdag", 5, "fredag", 6, "lørdag", 7, "søndag"),0)</f>
        <v>fredag</v>
      </c>
      <c r="D17" s="29">
        <f t="shared" si="0"/>
        <v>6</v>
      </c>
      <c r="E17" s="70">
        <f t="shared" si="3"/>
        <v>46304</v>
      </c>
      <c r="F17" s="10" t="s">
        <v>23</v>
      </c>
      <c r="G17" s="12">
        <f>IF(OR(AND(F17="N",NOT(OR(C17="mandag",C17="tirsdag",C17="onsdag",C17="torsdag",C17="fredag"))),F17="F"),0,
        IF(OR(
            AND(Masterdata!$B$4&lt;&gt;DATE(1900,1,0), Masterdata!$B$4&lt;$E17),
            AND(Masterdata!$B$3&lt;&gt;DATE(1900,1,0), Masterdata!$B$3&gt;$E17)
        ),
        0, $X$7/(5-H17)))</f>
        <v>0.30833333333333335</v>
      </c>
      <c r="H17" s="86">
        <f>SUMPRODUCT(COUNTIFS(September!$A$9:$A$39,$A17,September!$D$9:$D$39,"&lt;7",September!$F$9:$F$39,"F")+COUNTIFS($A$9:$A$38,$A17,$D$9:$D$38,"&lt;7",$F$9:$F$38,"F")+COUNTIFS(November!$A$9:$A$39,$A17,November!$D$9:$D$39,"&lt;7",November!$F$9:$F$39,"F"))</f>
        <v>0</v>
      </c>
      <c r="I17" s="11">
        <v>0</v>
      </c>
      <c r="J17" s="11">
        <v>0</v>
      </c>
      <c r="K17" s="11">
        <v>0</v>
      </c>
      <c r="L17" s="26" t="str">
        <f t="shared" ref="L17:L39" si="12">IF($F17="F","00:00",
IF($F17="N",TEXT($G17,"[tt]:mm"),
IF($I17&lt;&gt;0,TEXT($I17,"[tt]:mm"),
IF($K17-$J17&gt;=0,
TEXT($K17-$J17,"[tt]:mm"),
"-"&amp;TEXT(ABS($K17-$J17),"[tt]:mm")))))</f>
        <v>07:24</v>
      </c>
      <c r="M17" s="26" t="str">
        <f>IF(OR(F17="N",F17="F"),"0:00",
IF(
OR(
AND(Masterdata!$B$4&lt;&gt;DATE(1900,1,0),Masterdata!$B$4&lt;$E17),
AND(Masterdata!$B$3&lt;&gt;DATE(1900,1,0),Masterdata!$B$3&gt;$E17)
),"0:00",
IF(
$I17&gt;TIME(0,0,0),
IF(
NOT(OR($C17="mandag",$C17="tirsdag",$C17="onsdag",$C17="torsdag",$C17="fredag")),
TEXT($I17,"[tt]:mm"),
IF($I17-$G17&gt;=0,TEXT($I17-$G17,"[tt]:mm"),"-"&amp;TEXT(ABS($I17-$G17),"[tt]:mm"))
),
IF(
NOT(OR($C17="mandag",$C17="tirsdag",$C17="onsdag",$C17="torsdag",$C17="fredag")),
IF($K17-$J17&gt;=0,TEXT($K17-$J17,"[tt]:mm"),"-"&amp;TEXT(ABS($K17-$J17),"[tt]:mm")),
IF(
$K17-$J17-$G17&gt;=0,
TEXT($K17-$J17-$G17,"[tt]:mm"),
"-"&amp;TEXT(ABS($K17-$J17-$G17),"[tt]:mm")
)
)
)
))</f>
        <v>0:00</v>
      </c>
      <c r="N17" s="71" t="str">
        <f t="shared" si="4"/>
        <v>0</v>
      </c>
      <c r="O17" s="25" t="str">
        <f t="shared" si="5"/>
        <v>0:</v>
      </c>
      <c r="P17" s="52" t="str">
        <f t="shared" si="6"/>
        <v>0</v>
      </c>
      <c r="Q17" s="53">
        <f t="shared" si="10"/>
        <v>0</v>
      </c>
      <c r="R17" s="30">
        <f t="shared" si="11"/>
        <v>0</v>
      </c>
      <c r="S17" s="98"/>
      <c r="T17" s="98"/>
      <c r="U17" s="29" t="s">
        <v>49</v>
      </c>
      <c r="V17" s="29" t="s">
        <v>50</v>
      </c>
      <c r="W17" s="29" t="s">
        <v>51</v>
      </c>
      <c r="X17" s="30" t="e">
        <f>SUM(#REF!)</f>
        <v>#REF!</v>
      </c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</row>
    <row r="18" spans="1:45" x14ac:dyDescent="0.3">
      <c r="A18" s="7">
        <f t="shared" si="2"/>
        <v>41</v>
      </c>
      <c r="B18" s="8">
        <f t="shared" si="9"/>
        <v>46305</v>
      </c>
      <c r="C18" s="9" t="str" cm="1">
        <f t="array" ref="C18">_xlfn.XLOOKUP(E18,Masterdata!$B$31:$B$44,Masterdata!$A$31:$A$44,_xlfn.SWITCH(WEEKDAY($D18, 2), 1, "mandag", 2, "tirsdag", 3, "onsdag", 4, "torsdag", 5, "fredag", 6, "lørdag", 7, "søndag"),0)</f>
        <v>lørdag</v>
      </c>
      <c r="D18" s="29">
        <f t="shared" si="0"/>
        <v>7</v>
      </c>
      <c r="E18" s="70">
        <f t="shared" si="3"/>
        <v>46305</v>
      </c>
      <c r="F18" s="10" t="s">
        <v>23</v>
      </c>
      <c r="G18" s="12">
        <f>IF(OR(AND(F18="N",NOT(OR(C18="mandag",C18="tirsdag",C18="onsdag",C18="torsdag",C18="fredag"))),F18="F"),0,
        IF(OR(
            AND(Masterdata!$B$4&lt;&gt;DATE(1900,1,0), Masterdata!$B$4&lt;$E18),
            AND(Masterdata!$B$3&lt;&gt;DATE(1900,1,0), Masterdata!$B$3&gt;$E18)
        ),
        0, $X$7/(5-H18)))</f>
        <v>0</v>
      </c>
      <c r="H18" s="86">
        <f>SUMPRODUCT(COUNTIFS(September!$A$9:$A$39,$A18,September!$D$9:$D$39,"&lt;7",September!$F$9:$F$39,"F")+COUNTIFS($A$9:$A$38,$A18,$D$9:$D$38,"&lt;7",$F$9:$F$38,"F")+COUNTIFS(November!$A$9:$A$39,$A18,November!$D$9:$D$39,"&lt;7",November!$F$9:$F$39,"F"))</f>
        <v>0</v>
      </c>
      <c r="I18" s="11">
        <v>0</v>
      </c>
      <c r="J18" s="11">
        <v>0</v>
      </c>
      <c r="K18" s="11">
        <v>0</v>
      </c>
      <c r="L18" s="26" t="str">
        <f t="shared" si="12"/>
        <v>00:00</v>
      </c>
      <c r="M18" s="26" t="str">
        <f>IF(OR(F18="N",F18="F"),"0:00",
IF(
OR(
AND(Masterdata!$B$4&lt;&gt;DATE(1900,1,0),Masterdata!$B$4&lt;$E18),
AND(Masterdata!$B$3&lt;&gt;DATE(1900,1,0),Masterdata!$B$3&gt;$E18)
),"0:00",
IF(
$I18&gt;TIME(0,0,0),
IF(
NOT(OR($C18="mandag",$C18="tirsdag",$C18="onsdag",$C18="torsdag",$C18="fredag")),
TEXT($I18,"[tt]:mm"),
IF($I18-$G18&gt;=0,TEXT($I18-$G18,"[tt]:mm"),"-"&amp;TEXT(ABS($I18-$G18),"[tt]:mm"))
),
IF(
NOT(OR($C18="mandag",$C18="tirsdag",$C18="onsdag",$C18="torsdag",$C18="fredag")),
IF($K18-$J18&gt;=0,TEXT($K18-$J18,"[tt]:mm"),"-"&amp;TEXT(ABS($K18-$J18),"[tt]:mm")),
IF(
$K18-$J18-$G18&gt;=0,
TEXT($K18-$J18-$G18,"[tt]:mm"),
"-"&amp;TEXT(ABS($K18-$J18-$G18),"[tt]:mm")
)
)
)
))</f>
        <v>0:00</v>
      </c>
      <c r="N18" s="71" t="str">
        <f t="shared" si="4"/>
        <v>0</v>
      </c>
      <c r="O18" s="25" t="str">
        <f t="shared" si="5"/>
        <v>0:</v>
      </c>
      <c r="P18" s="52" t="str">
        <f t="shared" si="6"/>
        <v>0</v>
      </c>
      <c r="Q18" s="53">
        <f t="shared" si="10"/>
        <v>0</v>
      </c>
      <c r="R18" s="30">
        <f t="shared" si="11"/>
        <v>0</v>
      </c>
      <c r="S18" s="98"/>
      <c r="T18" s="98"/>
      <c r="U18" s="29" t="s">
        <v>25</v>
      </c>
      <c r="V18" s="29" t="s">
        <v>52</v>
      </c>
      <c r="W18" s="29" t="s">
        <v>53</v>
      </c>
      <c r="X18" s="30" t="e">
        <f>X16-X17</f>
        <v>#REF!</v>
      </c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</row>
    <row r="19" spans="1:45" x14ac:dyDescent="0.3">
      <c r="A19" s="7">
        <f t="shared" si="2"/>
        <v>41</v>
      </c>
      <c r="B19" s="8">
        <f t="shared" si="9"/>
        <v>46306</v>
      </c>
      <c r="C19" s="9" t="str" cm="1">
        <f t="array" ref="C19">_xlfn.XLOOKUP(E19,Masterdata!$B$31:$B$44,Masterdata!$A$31:$A$44,_xlfn.SWITCH(WEEKDAY($D19, 2), 1, "mandag", 2, "tirsdag", 3, "onsdag", 4, "torsdag", 5, "fredag", 6, "lørdag", 7, "søndag"),0)</f>
        <v>søndag</v>
      </c>
      <c r="D19" s="29">
        <f t="shared" si="0"/>
        <v>8</v>
      </c>
      <c r="E19" s="70">
        <f t="shared" si="3"/>
        <v>46306</v>
      </c>
      <c r="F19" s="10" t="s">
        <v>23</v>
      </c>
      <c r="G19" s="12">
        <f>IF(OR(AND(F19="N",NOT(OR(C19="mandag",C19="tirsdag",C19="onsdag",C19="torsdag",C19="fredag"))),F19="F"),0,
        IF(OR(
            AND(Masterdata!$B$4&lt;&gt;DATE(1900,1,0), Masterdata!$B$4&lt;$E19),
            AND(Masterdata!$B$3&lt;&gt;DATE(1900,1,0), Masterdata!$B$3&gt;$E19)
        ),
        0, $X$7/(5-H19)))</f>
        <v>0</v>
      </c>
      <c r="H19" s="86">
        <f>SUMPRODUCT(COUNTIFS(September!$A$9:$A$39,$A19,September!$D$9:$D$39,"&lt;7",September!$F$9:$F$39,"F")+COUNTIFS($A$9:$A$38,$A19,$D$9:$D$38,"&lt;7",$F$9:$F$38,"F")+COUNTIFS(November!$A$9:$A$39,$A19,November!$D$9:$D$39,"&lt;7",November!$F$9:$F$39,"F"))</f>
        <v>0</v>
      </c>
      <c r="I19" s="11">
        <v>0</v>
      </c>
      <c r="J19" s="11">
        <v>0</v>
      </c>
      <c r="K19" s="11">
        <v>0</v>
      </c>
      <c r="L19" s="26" t="str">
        <f t="shared" si="12"/>
        <v>00:00</v>
      </c>
      <c r="M19" s="26" t="str">
        <f>IF(OR(F19="N",F19="F"),"0:00",
IF(
OR(
AND(Masterdata!$B$4&lt;&gt;DATE(1900,1,0),Masterdata!$B$4&lt;$E19),
AND(Masterdata!$B$3&lt;&gt;DATE(1900,1,0),Masterdata!$B$3&gt;$E19)
),"0:00",
IF(
$I19&gt;TIME(0,0,0),
IF(
NOT(OR($C19="mandag",$C19="tirsdag",$C19="onsdag",$C19="torsdag",$C19="fredag")),
TEXT($I19,"[tt]:mm"),
IF($I19-$G19&gt;=0,TEXT($I19-$G19,"[tt]:mm"),"-"&amp;TEXT(ABS($I19-$G19),"[tt]:mm"))
),
IF(
NOT(OR($C19="mandag",$C19="tirsdag",$C19="onsdag",$C19="torsdag",$C19="fredag")),
IF($K19-$J19&gt;=0,TEXT($K19-$J19,"[tt]:mm"),"-"&amp;TEXT(ABS($K19-$J19),"[tt]:mm")),
IF(
$K19-$J19-$G19&gt;=0,
TEXT($K19-$J19-$G19,"[tt]:mm"),
"-"&amp;TEXT(ABS($K19-$J19-$G19),"[tt]:mm")
)
)
)
))</f>
        <v>0:00</v>
      </c>
      <c r="N19" s="71" t="str">
        <f t="shared" si="4"/>
        <v>0</v>
      </c>
      <c r="O19" s="25" t="str">
        <f t="shared" si="5"/>
        <v>0:</v>
      </c>
      <c r="P19" s="52" t="str">
        <f t="shared" si="6"/>
        <v>0</v>
      </c>
      <c r="Q19" s="53">
        <f t="shared" si="10"/>
        <v>0</v>
      </c>
      <c r="R19" s="30">
        <f t="shared" si="11"/>
        <v>0</v>
      </c>
      <c r="S19" s="98"/>
      <c r="T19" s="98"/>
      <c r="U19" s="29"/>
      <c r="V19" s="29"/>
      <c r="W19" s="70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</row>
    <row r="20" spans="1:45" x14ac:dyDescent="0.3">
      <c r="A20" s="7">
        <f t="shared" si="2"/>
        <v>42</v>
      </c>
      <c r="B20" s="8">
        <f t="shared" si="9"/>
        <v>46307</v>
      </c>
      <c r="C20" s="9" t="str" cm="1">
        <f t="array" ref="C20">_xlfn.XLOOKUP(E20,Masterdata!$B$31:$B$44,Masterdata!$A$31:$A$44,_xlfn.SWITCH(WEEKDAY($D20, 2), 1, "mandag", 2, "tirsdag", 3, "onsdag", 4, "torsdag", 5, "fredag", 6, "lørdag", 7, "søndag"),0)</f>
        <v>mandag</v>
      </c>
      <c r="D20" s="29">
        <f t="shared" si="0"/>
        <v>2</v>
      </c>
      <c r="E20" s="70">
        <f t="shared" si="3"/>
        <v>46307</v>
      </c>
      <c r="F20" s="10" t="s">
        <v>23</v>
      </c>
      <c r="G20" s="12">
        <f>IF(OR(AND(F20="N",NOT(OR(C20="mandag",C20="tirsdag",C20="onsdag",C20="torsdag",C20="fredag"))),F20="F"),0,
        IF(OR(
            AND(Masterdata!$B$4&lt;&gt;DATE(1900,1,0), Masterdata!$B$4&lt;$E20),
            AND(Masterdata!$B$3&lt;&gt;DATE(1900,1,0), Masterdata!$B$3&gt;$E20)
        ),
        0, $X$7/(5-H20)))</f>
        <v>0.30833333333333335</v>
      </c>
      <c r="H20" s="86">
        <f>SUMPRODUCT(COUNTIFS(September!$A$9:$A$39,$A20,September!$D$9:$D$39,"&lt;7",September!$F$9:$F$39,"F")+COUNTIFS($A$9:$A$38,$A20,$D$9:$D$38,"&lt;7",$F$9:$F$38,"F")+COUNTIFS(November!$A$9:$A$39,$A20,November!$D$9:$D$39,"&lt;7",November!$F$9:$F$39,"F"))</f>
        <v>0</v>
      </c>
      <c r="I20" s="11">
        <v>0</v>
      </c>
      <c r="J20" s="11">
        <v>0</v>
      </c>
      <c r="K20" s="11">
        <v>0</v>
      </c>
      <c r="L20" s="26" t="str">
        <f t="shared" si="12"/>
        <v>07:24</v>
      </c>
      <c r="M20" s="26" t="str">
        <f>IF(OR(F20="N",F20="F"),"0:00",
IF(
OR(
AND(Masterdata!$B$4&lt;&gt;DATE(1900,1,0),Masterdata!$B$4&lt;$E20),
AND(Masterdata!$B$3&lt;&gt;DATE(1900,1,0),Masterdata!$B$3&gt;$E20)
),"0:00",
IF(
$I20&gt;TIME(0,0,0),
IF(
NOT(OR($C20="mandag",$C20="tirsdag",$C20="onsdag",$C20="torsdag",$C20="fredag")),
TEXT($I20,"[tt]:mm"),
IF($I20-$G20&gt;=0,TEXT($I20-$G20,"[tt]:mm"),"-"&amp;TEXT(ABS($I20-$G20),"[tt]:mm"))
),
IF(
NOT(OR($C20="mandag",$C20="tirsdag",$C20="onsdag",$C20="torsdag",$C20="fredag")),
IF($K20-$J20&gt;=0,TEXT($K20-$J20,"[tt]:mm"),"-"&amp;TEXT(ABS($K20-$J20),"[tt]:mm")),
IF(
$K20-$J20-$G20&gt;=0,
TEXT($K20-$J20-$G20,"[tt]:mm"),
"-"&amp;TEXT(ABS($K20-$J20-$G20),"[tt]:mm")
)
)
)
))</f>
        <v>0:00</v>
      </c>
      <c r="N20" s="71" t="str">
        <f t="shared" si="4"/>
        <v>0</v>
      </c>
      <c r="O20" s="25" t="str">
        <f t="shared" si="5"/>
        <v>0:</v>
      </c>
      <c r="P20" s="52" t="str">
        <f t="shared" si="6"/>
        <v>0</v>
      </c>
      <c r="Q20" s="53">
        <f t="shared" si="10"/>
        <v>0</v>
      </c>
      <c r="R20" s="30">
        <f t="shared" si="11"/>
        <v>0</v>
      </c>
      <c r="S20" s="98"/>
      <c r="T20" s="98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</row>
    <row r="21" spans="1:45" x14ac:dyDescent="0.3">
      <c r="A21" s="7">
        <f t="shared" si="2"/>
        <v>42</v>
      </c>
      <c r="B21" s="8">
        <f t="shared" si="9"/>
        <v>46308</v>
      </c>
      <c r="C21" s="9" t="str" cm="1">
        <f t="array" ref="C21">_xlfn.XLOOKUP(E21,Masterdata!$B$31:$B$44,Masterdata!$A$31:$A$44,_xlfn.SWITCH(WEEKDAY($D21, 2), 1, "mandag", 2, "tirsdag", 3, "onsdag", 4, "torsdag", 5, "fredag", 6, "lørdag", 7, "søndag"),0)</f>
        <v>tirsdag</v>
      </c>
      <c r="D21" s="29">
        <f t="shared" si="0"/>
        <v>3</v>
      </c>
      <c r="E21" s="70">
        <f t="shared" si="3"/>
        <v>46308</v>
      </c>
      <c r="F21" s="10" t="s">
        <v>23</v>
      </c>
      <c r="G21" s="12">
        <f>IF(OR(AND(F21="N",NOT(OR(C21="mandag",C21="tirsdag",C21="onsdag",C21="torsdag",C21="fredag"))),F21="F"),0,
        IF(OR(
            AND(Masterdata!$B$4&lt;&gt;DATE(1900,1,0), Masterdata!$B$4&lt;$E21),
            AND(Masterdata!$B$3&lt;&gt;DATE(1900,1,0), Masterdata!$B$3&gt;$E21)
        ),
        0, $X$7/(5-H21)))</f>
        <v>0.30833333333333335</v>
      </c>
      <c r="H21" s="86">
        <f>SUMPRODUCT(COUNTIFS(September!$A$9:$A$39,$A21,September!$D$9:$D$39,"&lt;7",September!$F$9:$F$39,"F")+COUNTIFS($A$9:$A$38,$A21,$D$9:$D$38,"&lt;7",$F$9:$F$38,"F")+COUNTIFS(November!$A$9:$A$39,$A21,November!$D$9:$D$39,"&lt;7",November!$F$9:$F$39,"F"))</f>
        <v>0</v>
      </c>
      <c r="I21" s="11">
        <v>0</v>
      </c>
      <c r="J21" s="11">
        <v>0</v>
      </c>
      <c r="K21" s="11">
        <v>0</v>
      </c>
      <c r="L21" s="26" t="str">
        <f t="shared" si="12"/>
        <v>07:24</v>
      </c>
      <c r="M21" s="26" t="str">
        <f>IF(OR(F21="N",F21="F"),"0:00",
IF(
OR(
AND(Masterdata!$B$4&lt;&gt;DATE(1900,1,0),Masterdata!$B$4&lt;$E21),
AND(Masterdata!$B$3&lt;&gt;DATE(1900,1,0),Masterdata!$B$3&gt;$E21)
),"0:00",
IF(
$I21&gt;TIME(0,0,0),
IF(
NOT(OR($C21="mandag",$C21="tirsdag",$C21="onsdag",$C21="torsdag",$C21="fredag")),
TEXT($I21,"[tt]:mm"),
IF($I21-$G21&gt;=0,TEXT($I21-$G21,"[tt]:mm"),"-"&amp;TEXT(ABS($I21-$G21),"[tt]:mm"))
),
IF(
NOT(OR($C21="mandag",$C21="tirsdag",$C21="onsdag",$C21="torsdag",$C21="fredag")),
IF($K21-$J21&gt;=0,TEXT($K21-$J21,"[tt]:mm"),"-"&amp;TEXT(ABS($K21-$J21),"[tt]:mm")),
IF(
$K21-$J21-$G21&gt;=0,
TEXT($K21-$J21-$G21,"[tt]:mm"),
"-"&amp;TEXT(ABS($K21-$J21-$G21),"[tt]:mm")
)
)
)
))</f>
        <v>0:00</v>
      </c>
      <c r="N21" s="71" t="str">
        <f>LEFT(M21,1)</f>
        <v>0</v>
      </c>
      <c r="O21" s="25" t="str">
        <f t="shared" si="5"/>
        <v>0:</v>
      </c>
      <c r="P21" s="52" t="str">
        <f t="shared" si="6"/>
        <v>0</v>
      </c>
      <c r="Q21" s="53">
        <f t="shared" si="10"/>
        <v>0</v>
      </c>
      <c r="R21" s="30">
        <f>IF(N21="-",O21-Q21,O21+Q21)</f>
        <v>0</v>
      </c>
      <c r="S21" s="98"/>
      <c r="T21" s="98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</row>
    <row r="22" spans="1:45" x14ac:dyDescent="0.3">
      <c r="A22" s="7">
        <f t="shared" si="2"/>
        <v>42</v>
      </c>
      <c r="B22" s="8">
        <f t="shared" si="9"/>
        <v>46309</v>
      </c>
      <c r="C22" s="9" t="str" cm="1">
        <f t="array" ref="C22">_xlfn.XLOOKUP(E22,Masterdata!$B$31:$B$44,Masterdata!$A$31:$A$44,_xlfn.SWITCH(WEEKDAY($D22, 2), 1, "mandag", 2, "tirsdag", 3, "onsdag", 4, "torsdag", 5, "fredag", 6, "lørdag", 7, "søndag"),0)</f>
        <v>onsdag</v>
      </c>
      <c r="D22" s="29">
        <f t="shared" si="0"/>
        <v>4</v>
      </c>
      <c r="E22" s="70">
        <f t="shared" si="3"/>
        <v>46309</v>
      </c>
      <c r="F22" s="10" t="s">
        <v>23</v>
      </c>
      <c r="G22" s="12">
        <f>IF(OR(AND(F22="N",NOT(OR(C22="mandag",C22="tirsdag",C22="onsdag",C22="torsdag",C22="fredag"))),F22="F"),0,
        IF(OR(
            AND(Masterdata!$B$4&lt;&gt;DATE(1900,1,0), Masterdata!$B$4&lt;$E22),
            AND(Masterdata!$B$3&lt;&gt;DATE(1900,1,0), Masterdata!$B$3&gt;$E22)
        ),
        0, $X$7/(5-H22)))</f>
        <v>0.30833333333333335</v>
      </c>
      <c r="H22" s="86">
        <f>SUMPRODUCT(COUNTIFS(September!$A$9:$A$39,$A22,September!$D$9:$D$39,"&lt;7",September!$F$9:$F$39,"F")+COUNTIFS($A$9:$A$38,$A22,$D$9:$D$38,"&lt;7",$F$9:$F$38,"F")+COUNTIFS(November!$A$9:$A$39,$A22,November!$D$9:$D$39,"&lt;7",November!$F$9:$F$39,"F"))</f>
        <v>0</v>
      </c>
      <c r="I22" s="11">
        <v>0</v>
      </c>
      <c r="J22" s="11">
        <v>0</v>
      </c>
      <c r="K22" s="11">
        <v>0</v>
      </c>
      <c r="L22" s="26" t="str">
        <f t="shared" si="12"/>
        <v>07:24</v>
      </c>
      <c r="M22" s="26" t="str">
        <f>IF(OR(F22="N",F22="F"),"0:00",
IF(
OR(
AND(Masterdata!$B$4&lt;&gt;DATE(1900,1,0),Masterdata!$B$4&lt;$E22),
AND(Masterdata!$B$3&lt;&gt;DATE(1900,1,0),Masterdata!$B$3&gt;$E22)
),"0:00",
IF(
$I22&gt;TIME(0,0,0),
IF(
NOT(OR($C22="mandag",$C22="tirsdag",$C22="onsdag",$C22="torsdag",$C22="fredag")),
TEXT($I22,"[tt]:mm"),
IF($I22-$G22&gt;=0,TEXT($I22-$G22,"[tt]:mm"),"-"&amp;TEXT(ABS($I22-$G22),"[tt]:mm"))
),
IF(
NOT(OR($C22="mandag",$C22="tirsdag",$C22="onsdag",$C22="torsdag",$C22="fredag")),
IF($K22-$J22&gt;=0,TEXT($K22-$J22,"[tt]:mm"),"-"&amp;TEXT(ABS($K22-$J22),"[tt]:mm")),
IF(
$K22-$J22-$G22&gt;=0,
TEXT($K22-$J22-$G22,"[tt]:mm"),
"-"&amp;TEXT(ABS($K22-$J22-$G22),"[tt]:mm")
)
)
)
))</f>
        <v>0:00</v>
      </c>
      <c r="N22" s="71" t="str">
        <f t="shared" ref="N22:N33" si="13">LEFT(M22,1)</f>
        <v>0</v>
      </c>
      <c r="O22" s="25" t="str">
        <f t="shared" si="5"/>
        <v>0:</v>
      </c>
      <c r="P22" s="52" t="str">
        <f t="shared" si="6"/>
        <v>0</v>
      </c>
      <c r="Q22" s="53">
        <f t="shared" si="10"/>
        <v>0</v>
      </c>
      <c r="R22" s="30">
        <f t="shared" ref="R22:R33" si="14">IF(N22="-",O22-Q22,O22+Q22)</f>
        <v>0</v>
      </c>
      <c r="S22" s="98"/>
      <c r="T22" s="98"/>
      <c r="U22" s="29"/>
      <c r="V22" s="29"/>
      <c r="W22" s="29" t="s">
        <v>124</v>
      </c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</row>
    <row r="23" spans="1:45" x14ac:dyDescent="0.3">
      <c r="A23" s="7">
        <f t="shared" si="2"/>
        <v>42</v>
      </c>
      <c r="B23" s="8">
        <f t="shared" si="9"/>
        <v>46310</v>
      </c>
      <c r="C23" s="9" t="str" cm="1">
        <f t="array" ref="C23">_xlfn.XLOOKUP(E23,Masterdata!$B$31:$B$44,Masterdata!$A$31:$A$44,_xlfn.SWITCH(WEEKDAY($D23, 2), 1, "mandag", 2, "tirsdag", 3, "onsdag", 4, "torsdag", 5, "fredag", 6, "lørdag", 7, "søndag"),0)</f>
        <v>torsdag</v>
      </c>
      <c r="D23" s="29">
        <f t="shared" si="0"/>
        <v>5</v>
      </c>
      <c r="E23" s="70">
        <f t="shared" si="3"/>
        <v>46310</v>
      </c>
      <c r="F23" s="10" t="s">
        <v>23</v>
      </c>
      <c r="G23" s="12">
        <f>IF(OR(AND(F23="N",NOT(OR(C23="mandag",C23="tirsdag",C23="onsdag",C23="torsdag",C23="fredag"))),F23="F"),0,
        IF(OR(
            AND(Masterdata!$B$4&lt;&gt;DATE(1900,1,0), Masterdata!$B$4&lt;$E23),
            AND(Masterdata!$B$3&lt;&gt;DATE(1900,1,0), Masterdata!$B$3&gt;$E23)
        ),
        0, $X$7/(5-H23)))</f>
        <v>0.30833333333333335</v>
      </c>
      <c r="H23" s="86">
        <f>SUMPRODUCT(COUNTIFS(September!$A$9:$A$39,$A23,September!$D$9:$D$39,"&lt;7",September!$F$9:$F$39,"F")+COUNTIFS($A$9:$A$38,$A23,$D$9:$D$38,"&lt;7",$F$9:$F$38,"F")+COUNTIFS(November!$A$9:$A$39,$A23,November!$D$9:$D$39,"&lt;7",November!$F$9:$F$39,"F"))</f>
        <v>0</v>
      </c>
      <c r="I23" s="11">
        <v>0</v>
      </c>
      <c r="J23" s="11">
        <v>0</v>
      </c>
      <c r="K23" s="11">
        <v>0</v>
      </c>
      <c r="L23" s="26" t="str">
        <f t="shared" si="12"/>
        <v>07:24</v>
      </c>
      <c r="M23" s="26" t="str">
        <f>IF(OR(F23="N",F23="F"),"0:00",
IF(
OR(
AND(Masterdata!$B$4&lt;&gt;DATE(1900,1,0),Masterdata!$B$4&lt;$E23),
AND(Masterdata!$B$3&lt;&gt;DATE(1900,1,0),Masterdata!$B$3&gt;$E23)
),"0:00",
IF(
$I23&gt;TIME(0,0,0),
IF(
NOT(OR($C23="mandag",$C23="tirsdag",$C23="onsdag",$C23="torsdag",$C23="fredag")),
TEXT($I23,"[tt]:mm"),
IF($I23-$G23&gt;=0,TEXT($I23-$G23,"[tt]:mm"),"-"&amp;TEXT(ABS($I23-$G23),"[tt]:mm"))
),
IF(
NOT(OR($C23="mandag",$C23="tirsdag",$C23="onsdag",$C23="torsdag",$C23="fredag")),
IF($K23-$J23&gt;=0,TEXT($K23-$J23,"[tt]:mm"),"-"&amp;TEXT(ABS($K23-$J23),"[tt]:mm")),
IF(
$K23-$J23-$G23&gt;=0,
TEXT($K23-$J23-$G23,"[tt]:mm"),
"-"&amp;TEXT(ABS($K23-$J23-$G23),"[tt]:mm")
)
)
)
))</f>
        <v>0:00</v>
      </c>
      <c r="N23" s="71" t="str">
        <f t="shared" si="13"/>
        <v>0</v>
      </c>
      <c r="O23" s="25" t="str">
        <f t="shared" si="5"/>
        <v>0:</v>
      </c>
      <c r="P23" s="52" t="str">
        <f t="shared" si="6"/>
        <v>0</v>
      </c>
      <c r="Q23" s="53">
        <f t="shared" si="10"/>
        <v>0</v>
      </c>
      <c r="R23" s="30">
        <f t="shared" si="14"/>
        <v>0</v>
      </c>
      <c r="S23" s="98"/>
      <c r="T23" s="98"/>
      <c r="U23" s="29"/>
      <c r="V23" s="29"/>
      <c r="W23" s="29" t="s">
        <v>125</v>
      </c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</row>
    <row r="24" spans="1:45" x14ac:dyDescent="0.3">
      <c r="A24" s="7">
        <f t="shared" si="2"/>
        <v>42</v>
      </c>
      <c r="B24" s="8">
        <f t="shared" si="9"/>
        <v>46311</v>
      </c>
      <c r="C24" s="9" t="str" cm="1">
        <f t="array" ref="C24">_xlfn.XLOOKUP(E24,Masterdata!$B$31:$B$44,Masterdata!$A$31:$A$44,_xlfn.SWITCH(WEEKDAY($D24, 2), 1, "mandag", 2, "tirsdag", 3, "onsdag", 4, "torsdag", 5, "fredag", 6, "lørdag", 7, "søndag"),0)</f>
        <v>fredag</v>
      </c>
      <c r="D24" s="29">
        <f t="shared" si="0"/>
        <v>6</v>
      </c>
      <c r="E24" s="70">
        <f t="shared" si="3"/>
        <v>46311</v>
      </c>
      <c r="F24" s="10" t="s">
        <v>23</v>
      </c>
      <c r="G24" s="12">
        <f>IF(OR(AND(F24="N",NOT(OR(C24="mandag",C24="tirsdag",C24="onsdag",C24="torsdag",C24="fredag"))),F24="F"),0,
        IF(OR(
            AND(Masterdata!$B$4&lt;&gt;DATE(1900,1,0), Masterdata!$B$4&lt;$E24),
            AND(Masterdata!$B$3&lt;&gt;DATE(1900,1,0), Masterdata!$B$3&gt;$E24)
        ),
        0, $X$7/(5-H24)))</f>
        <v>0.30833333333333335</v>
      </c>
      <c r="H24" s="86">
        <f>SUMPRODUCT(COUNTIFS(September!$A$9:$A$39,$A24,September!$D$9:$D$39,"&lt;7",September!$F$9:$F$39,"F")+COUNTIFS($A$9:$A$38,$A24,$D$9:$D$38,"&lt;7",$F$9:$F$38,"F")+COUNTIFS(November!$A$9:$A$39,$A24,November!$D$9:$D$39,"&lt;7",November!$F$9:$F$39,"F"))</f>
        <v>0</v>
      </c>
      <c r="I24" s="11">
        <v>0</v>
      </c>
      <c r="J24" s="11">
        <v>0</v>
      </c>
      <c r="K24" s="11">
        <v>0</v>
      </c>
      <c r="L24" s="26" t="str">
        <f t="shared" si="12"/>
        <v>07:24</v>
      </c>
      <c r="M24" s="26" t="str">
        <f>IF(OR(F24="N",F24="F"),"0:00",
IF(
OR(
AND(Masterdata!$B$4&lt;&gt;DATE(1900,1,0),Masterdata!$B$4&lt;$E24),
AND(Masterdata!$B$3&lt;&gt;DATE(1900,1,0),Masterdata!$B$3&gt;$E24)
),"0:00",
IF(
$I24&gt;TIME(0,0,0),
IF(
NOT(OR($C24="mandag",$C24="tirsdag",$C24="onsdag",$C24="torsdag",$C24="fredag")),
TEXT($I24,"[tt]:mm"),
IF($I24-$G24&gt;=0,TEXT($I24-$G24,"[tt]:mm"),"-"&amp;TEXT(ABS($I24-$G24),"[tt]:mm"))
),
IF(
NOT(OR($C24="mandag",$C24="tirsdag",$C24="onsdag",$C24="torsdag",$C24="fredag")),
IF($K24-$J24&gt;=0,TEXT($K24-$J24,"[tt]:mm"),"-"&amp;TEXT(ABS($K24-$J24),"[tt]:mm")),
IF(
$K24-$J24-$G24&gt;=0,
TEXT($K24-$J24-$G24,"[tt]:mm"),
"-"&amp;TEXT(ABS($K24-$J24-$G24),"[tt]:mm")
)
)
)
))</f>
        <v>0:00</v>
      </c>
      <c r="N24" s="71" t="str">
        <f t="shared" si="13"/>
        <v>0</v>
      </c>
      <c r="O24" s="25" t="str">
        <f t="shared" si="5"/>
        <v>0:</v>
      </c>
      <c r="P24" s="52" t="str">
        <f t="shared" si="6"/>
        <v>0</v>
      </c>
      <c r="Q24" s="53">
        <f t="shared" si="10"/>
        <v>0</v>
      </c>
      <c r="R24" s="30">
        <f t="shared" si="14"/>
        <v>0</v>
      </c>
      <c r="S24" s="98"/>
      <c r="T24" s="98"/>
      <c r="U24" s="29"/>
      <c r="V24" s="29"/>
      <c r="W24" s="29" t="s">
        <v>126</v>
      </c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</row>
    <row r="25" spans="1:45" x14ac:dyDescent="0.3">
      <c r="A25" s="7">
        <f t="shared" si="2"/>
        <v>42</v>
      </c>
      <c r="B25" s="8">
        <f t="shared" si="9"/>
        <v>46312</v>
      </c>
      <c r="C25" s="9" t="str" cm="1">
        <f t="array" ref="C25">_xlfn.XLOOKUP(E25,Masterdata!$B$31:$B$44,Masterdata!$A$31:$A$44,_xlfn.SWITCH(WEEKDAY($D25, 2), 1, "mandag", 2, "tirsdag", 3, "onsdag", 4, "torsdag", 5, "fredag", 6, "lørdag", 7, "søndag"),0)</f>
        <v>lørdag</v>
      </c>
      <c r="D25" s="29">
        <f t="shared" si="0"/>
        <v>7</v>
      </c>
      <c r="E25" s="70">
        <f t="shared" si="3"/>
        <v>46312</v>
      </c>
      <c r="F25" s="10" t="s">
        <v>23</v>
      </c>
      <c r="G25" s="12">
        <f>IF(OR(AND(F25="N",NOT(OR(C25="mandag",C25="tirsdag",C25="onsdag",C25="torsdag",C25="fredag"))),F25="F"),0,
        IF(OR(
            AND(Masterdata!$B$4&lt;&gt;DATE(1900,1,0), Masterdata!$B$4&lt;$E25),
            AND(Masterdata!$B$3&lt;&gt;DATE(1900,1,0), Masterdata!$B$3&gt;$E25)
        ),
        0, $X$7/(5-H25)))</f>
        <v>0</v>
      </c>
      <c r="H25" s="86">
        <f>SUMPRODUCT(COUNTIFS(September!$A$9:$A$39,$A25,September!$D$9:$D$39,"&lt;7",September!$F$9:$F$39,"F")+COUNTIFS($A$9:$A$38,$A25,$D$9:$D$38,"&lt;7",$F$9:$F$38,"F")+COUNTIFS(November!$A$9:$A$39,$A25,November!$D$9:$D$39,"&lt;7",November!$F$9:$F$39,"F"))</f>
        <v>0</v>
      </c>
      <c r="I25" s="11">
        <v>0</v>
      </c>
      <c r="J25" s="11">
        <v>0</v>
      </c>
      <c r="K25" s="11">
        <v>0</v>
      </c>
      <c r="L25" s="26" t="str">
        <f t="shared" si="12"/>
        <v>00:00</v>
      </c>
      <c r="M25" s="26" t="str">
        <f>IF(OR(F25="N",F25="F"),"0:00",
IF(
OR(
AND(Masterdata!$B$4&lt;&gt;DATE(1900,1,0),Masterdata!$B$4&lt;$E25),
AND(Masterdata!$B$3&lt;&gt;DATE(1900,1,0),Masterdata!$B$3&gt;$E25)
),"0:00",
IF(
$I25&gt;TIME(0,0,0),
IF(
NOT(OR($C25="mandag",$C25="tirsdag",$C25="onsdag",$C25="torsdag",$C25="fredag")),
TEXT($I25,"[tt]:mm"),
IF($I25-$G25&gt;=0,TEXT($I25-$G25,"[tt]:mm"),"-"&amp;TEXT(ABS($I25-$G25),"[tt]:mm"))
),
IF(
NOT(OR($C25="mandag",$C25="tirsdag",$C25="onsdag",$C25="torsdag",$C25="fredag")),
IF($K25-$J25&gt;=0,TEXT($K25-$J25,"[tt]:mm"),"-"&amp;TEXT(ABS($K25-$J25),"[tt]:mm")),
IF(
$K25-$J25-$G25&gt;=0,
TEXT($K25-$J25-$G25,"[tt]:mm"),
"-"&amp;TEXT(ABS($K25-$J25-$G25),"[tt]:mm")
)
)
)
))</f>
        <v>0:00</v>
      </c>
      <c r="N25" s="71" t="str">
        <f t="shared" si="13"/>
        <v>0</v>
      </c>
      <c r="O25" s="25" t="str">
        <f t="shared" si="5"/>
        <v>0:</v>
      </c>
      <c r="P25" s="52" t="str">
        <f t="shared" si="6"/>
        <v>0</v>
      </c>
      <c r="Q25" s="53">
        <f t="shared" si="10"/>
        <v>0</v>
      </c>
      <c r="R25" s="30">
        <f t="shared" si="14"/>
        <v>0</v>
      </c>
      <c r="S25" s="98"/>
      <c r="T25" s="98"/>
      <c r="U25" s="29"/>
      <c r="V25" s="29"/>
      <c r="W25" s="29" t="s">
        <v>127</v>
      </c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</row>
    <row r="26" spans="1:45" x14ac:dyDescent="0.3">
      <c r="A26" s="7">
        <f t="shared" si="2"/>
        <v>42</v>
      </c>
      <c r="B26" s="8">
        <f t="shared" si="9"/>
        <v>46313</v>
      </c>
      <c r="C26" s="9" t="str" cm="1">
        <f t="array" ref="C26">_xlfn.XLOOKUP(E26,Masterdata!$B$31:$B$44,Masterdata!$A$31:$A$44,_xlfn.SWITCH(WEEKDAY($D26, 2), 1, "mandag", 2, "tirsdag", 3, "onsdag", 4, "torsdag", 5, "fredag", 6, "lørdag", 7, "søndag"),0)</f>
        <v>søndag</v>
      </c>
      <c r="D26" s="29">
        <f t="shared" si="0"/>
        <v>8</v>
      </c>
      <c r="E26" s="70">
        <f t="shared" si="3"/>
        <v>46313</v>
      </c>
      <c r="F26" s="10" t="s">
        <v>23</v>
      </c>
      <c r="G26" s="12">
        <f>IF(OR(AND(F26="N",NOT(OR(C26="mandag",C26="tirsdag",C26="onsdag",C26="torsdag",C26="fredag"))),F26="F"),0,
        IF(OR(
            AND(Masterdata!$B$4&lt;&gt;DATE(1900,1,0), Masterdata!$B$4&lt;$E26),
            AND(Masterdata!$B$3&lt;&gt;DATE(1900,1,0), Masterdata!$B$3&gt;$E26)
        ),
        0, $X$7/(5-H26)))</f>
        <v>0</v>
      </c>
      <c r="H26" s="86">
        <f>SUMPRODUCT(COUNTIFS(September!$A$9:$A$39,$A26,September!$D$9:$D$39,"&lt;7",September!$F$9:$F$39,"F")+COUNTIFS($A$9:$A$38,$A26,$D$9:$D$38,"&lt;7",$F$9:$F$38,"F")+COUNTIFS(November!$A$9:$A$39,$A26,November!$D$9:$D$39,"&lt;7",November!$F$9:$F$39,"F"))</f>
        <v>0</v>
      </c>
      <c r="I26" s="11">
        <v>0</v>
      </c>
      <c r="J26" s="11">
        <v>0</v>
      </c>
      <c r="K26" s="11">
        <v>0</v>
      </c>
      <c r="L26" s="26" t="str">
        <f t="shared" si="12"/>
        <v>00:00</v>
      </c>
      <c r="M26" s="26" t="str">
        <f>IF(OR(F26="N",F26="F"),"0:00",
IF(
OR(
AND(Masterdata!$B$4&lt;&gt;DATE(1900,1,0),Masterdata!$B$4&lt;$E26),
AND(Masterdata!$B$3&lt;&gt;DATE(1900,1,0),Masterdata!$B$3&gt;$E26)
),"0:00",
IF(
$I26&gt;TIME(0,0,0),
IF(
NOT(OR($C26="mandag",$C26="tirsdag",$C26="onsdag",$C26="torsdag",$C26="fredag")),
TEXT($I26,"[tt]:mm"),
IF($I26-$G26&gt;=0,TEXT($I26-$G26,"[tt]:mm"),"-"&amp;TEXT(ABS($I26-$G26),"[tt]:mm"))
),
IF(
NOT(OR($C26="mandag",$C26="tirsdag",$C26="onsdag",$C26="torsdag",$C26="fredag")),
IF($K26-$J26&gt;=0,TEXT($K26-$J26,"[tt]:mm"),"-"&amp;TEXT(ABS($K26-$J26),"[tt]:mm")),
IF(
$K26-$J26-$G26&gt;=0,
TEXT($K26-$J26-$G26,"[tt]:mm"),
"-"&amp;TEXT(ABS($K26-$J26-$G26),"[tt]:mm")
)
)
)
))</f>
        <v>0:00</v>
      </c>
      <c r="N26" s="71" t="str">
        <f t="shared" si="13"/>
        <v>0</v>
      </c>
      <c r="O26" s="25" t="str">
        <f t="shared" si="5"/>
        <v>0:</v>
      </c>
      <c r="P26" s="52" t="str">
        <f t="shared" si="6"/>
        <v>0</v>
      </c>
      <c r="Q26" s="53">
        <f t="shared" si="10"/>
        <v>0</v>
      </c>
      <c r="R26" s="30">
        <f t="shared" si="14"/>
        <v>0</v>
      </c>
      <c r="S26" s="98"/>
      <c r="T26" s="98"/>
      <c r="U26" s="29"/>
      <c r="V26" s="29"/>
      <c r="W26" s="29" t="s">
        <v>128</v>
      </c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</row>
    <row r="27" spans="1:45" x14ac:dyDescent="0.3">
      <c r="A27" s="7">
        <f t="shared" si="2"/>
        <v>43</v>
      </c>
      <c r="B27" s="8">
        <f t="shared" si="9"/>
        <v>46314</v>
      </c>
      <c r="C27" s="9" t="str" cm="1">
        <f t="array" ref="C27">_xlfn.XLOOKUP(E27,Masterdata!$B$31:$B$44,Masterdata!$A$31:$A$44,_xlfn.SWITCH(WEEKDAY($D27, 2), 1, "mandag", 2, "tirsdag", 3, "onsdag", 4, "torsdag", 5, "fredag", 6, "lørdag", 7, "søndag"),0)</f>
        <v>mandag</v>
      </c>
      <c r="D27" s="29">
        <f t="shared" si="0"/>
        <v>2</v>
      </c>
      <c r="E27" s="70">
        <f t="shared" si="3"/>
        <v>46314</v>
      </c>
      <c r="F27" s="10" t="s">
        <v>23</v>
      </c>
      <c r="G27" s="12">
        <f>IF(OR(AND(F27="N",NOT(OR(C27="mandag",C27="tirsdag",C27="onsdag",C27="torsdag",C27="fredag"))),F27="F"),0,
        IF(OR(
            AND(Masterdata!$B$4&lt;&gt;DATE(1900,1,0), Masterdata!$B$4&lt;$E27),
            AND(Masterdata!$B$3&lt;&gt;DATE(1900,1,0), Masterdata!$B$3&gt;$E27)
        ),
        0, $X$7/(5-H27)))</f>
        <v>0.30833333333333335</v>
      </c>
      <c r="H27" s="86">
        <f>SUMPRODUCT(COUNTIFS(September!$A$9:$A$39,$A27,September!$D$9:$D$39,"&lt;7",September!$F$9:$F$39,"F")+COUNTIFS($A$9:$A$38,$A27,$D$9:$D$38,"&lt;7",$F$9:$F$38,"F")+COUNTIFS(November!$A$9:$A$39,$A27,November!$D$9:$D$39,"&lt;7",November!$F$9:$F$39,"F"))</f>
        <v>0</v>
      </c>
      <c r="I27" s="11">
        <v>0</v>
      </c>
      <c r="J27" s="11">
        <v>0</v>
      </c>
      <c r="K27" s="11">
        <v>0</v>
      </c>
      <c r="L27" s="26" t="str">
        <f t="shared" si="12"/>
        <v>07:24</v>
      </c>
      <c r="M27" s="26" t="str">
        <f>IF(OR(F27="N",F27="F"),"0:00",
IF(
OR(
AND(Masterdata!$B$4&lt;&gt;DATE(1900,1,0),Masterdata!$B$4&lt;$E27),
AND(Masterdata!$B$3&lt;&gt;DATE(1900,1,0),Masterdata!$B$3&gt;$E27)
),"0:00",
IF(
$I27&gt;TIME(0,0,0),
IF(
NOT(OR($C27="mandag",$C27="tirsdag",$C27="onsdag",$C27="torsdag",$C27="fredag")),
TEXT($I27,"[tt]:mm"),
IF($I27-$G27&gt;=0,TEXT($I27-$G27,"[tt]:mm"),"-"&amp;TEXT(ABS($I27-$G27),"[tt]:mm"))
),
IF(
NOT(OR($C27="mandag",$C27="tirsdag",$C27="onsdag",$C27="torsdag",$C27="fredag")),
IF($K27-$J27&gt;=0,TEXT($K27-$J27,"[tt]:mm"),"-"&amp;TEXT(ABS($K27-$J27),"[tt]:mm")),
IF(
$K27-$J27-$G27&gt;=0,
TEXT($K27-$J27-$G27,"[tt]:mm"),
"-"&amp;TEXT(ABS($K27-$J27-$G27),"[tt]:mm")
)
)
)
))</f>
        <v>0:00</v>
      </c>
      <c r="N27" s="71" t="str">
        <f t="shared" si="13"/>
        <v>0</v>
      </c>
      <c r="O27" s="25" t="str">
        <f t="shared" si="5"/>
        <v>0:</v>
      </c>
      <c r="P27" s="52" t="str">
        <f t="shared" si="6"/>
        <v>0</v>
      </c>
      <c r="Q27" s="53">
        <f t="shared" si="10"/>
        <v>0</v>
      </c>
      <c r="R27" s="30">
        <f t="shared" si="14"/>
        <v>0</v>
      </c>
      <c r="S27" s="98"/>
      <c r="T27" s="98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</row>
    <row r="28" spans="1:45" x14ac:dyDescent="0.3">
      <c r="A28" s="7">
        <f t="shared" si="2"/>
        <v>43</v>
      </c>
      <c r="B28" s="8">
        <f t="shared" si="9"/>
        <v>46315</v>
      </c>
      <c r="C28" s="9" t="str" cm="1">
        <f t="array" ref="C28">_xlfn.XLOOKUP(E28,Masterdata!$B$31:$B$44,Masterdata!$A$31:$A$44,_xlfn.SWITCH(WEEKDAY($D28, 2), 1, "mandag", 2, "tirsdag", 3, "onsdag", 4, "torsdag", 5, "fredag", 6, "lørdag", 7, "søndag"),0)</f>
        <v>tirsdag</v>
      </c>
      <c r="D28" s="29">
        <f t="shared" si="0"/>
        <v>3</v>
      </c>
      <c r="E28" s="70">
        <f t="shared" si="3"/>
        <v>46315</v>
      </c>
      <c r="F28" s="10" t="s">
        <v>23</v>
      </c>
      <c r="G28" s="12">
        <f>IF(OR(AND(F28="N",NOT(OR(C28="mandag",C28="tirsdag",C28="onsdag",C28="torsdag",C28="fredag"))),F28="F"),0,
        IF(OR(
            AND(Masterdata!$B$4&lt;&gt;DATE(1900,1,0), Masterdata!$B$4&lt;$E28),
            AND(Masterdata!$B$3&lt;&gt;DATE(1900,1,0), Masterdata!$B$3&gt;$E28)
        ),
        0, $X$7/(5-H28)))</f>
        <v>0.30833333333333335</v>
      </c>
      <c r="H28" s="86">
        <f>SUMPRODUCT(COUNTIFS(September!$A$9:$A$39,$A28,September!$D$9:$D$39,"&lt;7",September!$F$9:$F$39,"F")+COUNTIFS($A$9:$A$38,$A28,$D$9:$D$38,"&lt;7",$F$9:$F$38,"F")+COUNTIFS(November!$A$9:$A$39,$A28,November!$D$9:$D$39,"&lt;7",November!$F$9:$F$39,"F"))</f>
        <v>0</v>
      </c>
      <c r="I28" s="11">
        <v>0</v>
      </c>
      <c r="J28" s="11">
        <v>0</v>
      </c>
      <c r="K28" s="11">
        <v>0</v>
      </c>
      <c r="L28" s="26" t="str">
        <f t="shared" si="12"/>
        <v>07:24</v>
      </c>
      <c r="M28" s="26" t="str">
        <f>IF(OR(F28="N",F28="F"),"0:00",
IF(
OR(
AND(Masterdata!$B$4&lt;&gt;DATE(1900,1,0),Masterdata!$B$4&lt;$E28),
AND(Masterdata!$B$3&lt;&gt;DATE(1900,1,0),Masterdata!$B$3&gt;$E28)
),"0:00",
IF(
$I28&gt;TIME(0,0,0),
IF(
NOT(OR($C28="mandag",$C28="tirsdag",$C28="onsdag",$C28="torsdag",$C28="fredag")),
TEXT($I28,"[tt]:mm"),
IF($I28-$G28&gt;=0,TEXT($I28-$G28,"[tt]:mm"),"-"&amp;TEXT(ABS($I28-$G28),"[tt]:mm"))
),
IF(
NOT(OR($C28="mandag",$C28="tirsdag",$C28="onsdag",$C28="torsdag",$C28="fredag")),
IF($K28-$J28&gt;=0,TEXT($K28-$J28,"[tt]:mm"),"-"&amp;TEXT(ABS($K28-$J28),"[tt]:mm")),
IF(
$K28-$J28-$G28&gt;=0,
TEXT($K28-$J28-$G28,"[tt]:mm"),
"-"&amp;TEXT(ABS($K28-$J28-$G28),"[tt]:mm")
)
)
)
))</f>
        <v>0:00</v>
      </c>
      <c r="N28" s="71" t="str">
        <f t="shared" si="13"/>
        <v>0</v>
      </c>
      <c r="O28" s="25" t="str">
        <f t="shared" si="5"/>
        <v>0:</v>
      </c>
      <c r="P28" s="52" t="str">
        <f t="shared" si="6"/>
        <v>0</v>
      </c>
      <c r="Q28" s="53">
        <f t="shared" si="10"/>
        <v>0</v>
      </c>
      <c r="R28" s="30">
        <f t="shared" si="14"/>
        <v>0</v>
      </c>
      <c r="S28" s="98"/>
      <c r="T28" s="98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</row>
    <row r="29" spans="1:45" x14ac:dyDescent="0.3">
      <c r="A29" s="7">
        <f t="shared" si="2"/>
        <v>43</v>
      </c>
      <c r="B29" s="8">
        <f t="shared" si="9"/>
        <v>46316</v>
      </c>
      <c r="C29" s="9" t="str" cm="1">
        <f t="array" ref="C29">_xlfn.XLOOKUP(E29,Masterdata!$B$31:$B$44,Masterdata!$A$31:$A$44,_xlfn.SWITCH(WEEKDAY($D29, 2), 1, "mandag", 2, "tirsdag", 3, "onsdag", 4, "torsdag", 5, "fredag", 6, "lørdag", 7, "søndag"),0)</f>
        <v>onsdag</v>
      </c>
      <c r="D29" s="29">
        <f t="shared" si="0"/>
        <v>4</v>
      </c>
      <c r="E29" s="70">
        <f t="shared" si="3"/>
        <v>46316</v>
      </c>
      <c r="F29" s="10" t="s">
        <v>23</v>
      </c>
      <c r="G29" s="12">
        <f>IF(OR(AND(F29="N",NOT(OR(C29="mandag",C29="tirsdag",C29="onsdag",C29="torsdag",C29="fredag"))),F29="F"),0,
        IF(OR(
            AND(Masterdata!$B$4&lt;&gt;DATE(1900,1,0), Masterdata!$B$4&lt;$E29),
            AND(Masterdata!$B$3&lt;&gt;DATE(1900,1,0), Masterdata!$B$3&gt;$E29)
        ),
        0, $X$7/(5-H29)))</f>
        <v>0.30833333333333335</v>
      </c>
      <c r="H29" s="86">
        <f>SUMPRODUCT(COUNTIFS(September!$A$9:$A$39,$A29,September!$D$9:$D$39,"&lt;7",September!$F$9:$F$39,"F")+COUNTIFS($A$9:$A$38,$A29,$D$9:$D$38,"&lt;7",$F$9:$F$38,"F")+COUNTIFS(November!$A$9:$A$39,$A29,November!$D$9:$D$39,"&lt;7",November!$F$9:$F$39,"F"))</f>
        <v>0</v>
      </c>
      <c r="I29" s="11">
        <v>0</v>
      </c>
      <c r="J29" s="11">
        <v>0</v>
      </c>
      <c r="K29" s="11">
        <v>0</v>
      </c>
      <c r="L29" s="26" t="str">
        <f t="shared" si="12"/>
        <v>07:24</v>
      </c>
      <c r="M29" s="26" t="str">
        <f>IF(OR(F29="N",F29="F"),"0:00",
IF(
OR(
AND(Masterdata!$B$4&lt;&gt;DATE(1900,1,0),Masterdata!$B$4&lt;$E29),
AND(Masterdata!$B$3&lt;&gt;DATE(1900,1,0),Masterdata!$B$3&gt;$E29)
),"0:00",
IF(
$I29&gt;TIME(0,0,0),
IF(
NOT(OR($C29="mandag",$C29="tirsdag",$C29="onsdag",$C29="torsdag",$C29="fredag")),
TEXT($I29,"[tt]:mm"),
IF($I29-$G29&gt;=0,TEXT($I29-$G29,"[tt]:mm"),"-"&amp;TEXT(ABS($I29-$G29),"[tt]:mm"))
),
IF(
NOT(OR($C29="mandag",$C29="tirsdag",$C29="onsdag",$C29="torsdag",$C29="fredag")),
IF($K29-$J29&gt;=0,TEXT($K29-$J29,"[tt]:mm"),"-"&amp;TEXT(ABS($K29-$J29),"[tt]:mm")),
IF(
$K29-$J29-$G29&gt;=0,
TEXT($K29-$J29-$G29,"[tt]:mm"),
"-"&amp;TEXT(ABS($K29-$J29-$G29),"[tt]:mm")
)
)
)
))</f>
        <v>0:00</v>
      </c>
      <c r="N29" s="71" t="str">
        <f t="shared" si="13"/>
        <v>0</v>
      </c>
      <c r="O29" s="25" t="str">
        <f t="shared" si="5"/>
        <v>0:</v>
      </c>
      <c r="P29" s="52" t="str">
        <f t="shared" si="6"/>
        <v>0</v>
      </c>
      <c r="Q29" s="53">
        <f t="shared" si="10"/>
        <v>0</v>
      </c>
      <c r="R29" s="30">
        <f t="shared" si="14"/>
        <v>0</v>
      </c>
      <c r="S29" s="98"/>
      <c r="T29" s="98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</row>
    <row r="30" spans="1:45" x14ac:dyDescent="0.3">
      <c r="A30" s="7">
        <f t="shared" si="2"/>
        <v>43</v>
      </c>
      <c r="B30" s="8">
        <f t="shared" si="9"/>
        <v>46317</v>
      </c>
      <c r="C30" s="9" t="str" cm="1">
        <f t="array" ref="C30">_xlfn.XLOOKUP(E30,Masterdata!$B$31:$B$44,Masterdata!$A$31:$A$44,_xlfn.SWITCH(WEEKDAY($D30, 2), 1, "mandag", 2, "tirsdag", 3, "onsdag", 4, "torsdag", 5, "fredag", 6, "lørdag", 7, "søndag"),0)</f>
        <v>torsdag</v>
      </c>
      <c r="D30" s="29">
        <f t="shared" si="0"/>
        <v>5</v>
      </c>
      <c r="E30" s="70">
        <f t="shared" si="3"/>
        <v>46317</v>
      </c>
      <c r="F30" s="10" t="s">
        <v>23</v>
      </c>
      <c r="G30" s="12">
        <f>IF(OR(AND(F30="N",NOT(OR(C30="mandag",C30="tirsdag",C30="onsdag",C30="torsdag",C30="fredag"))),F30="F"),0,
        IF(OR(
            AND(Masterdata!$B$4&lt;&gt;DATE(1900,1,0), Masterdata!$B$4&lt;$E30),
            AND(Masterdata!$B$3&lt;&gt;DATE(1900,1,0), Masterdata!$B$3&gt;$E30)
        ),
        0, $X$7/(5-H30)))</f>
        <v>0.30833333333333335</v>
      </c>
      <c r="H30" s="86">
        <f>SUMPRODUCT(COUNTIFS(September!$A$9:$A$39,$A30,September!$D$9:$D$39,"&lt;7",September!$F$9:$F$39,"F")+COUNTIFS($A$9:$A$38,$A30,$D$9:$D$38,"&lt;7",$F$9:$F$38,"F")+COUNTIFS(November!$A$9:$A$39,$A30,November!$D$9:$D$39,"&lt;7",November!$F$9:$F$39,"F"))</f>
        <v>0</v>
      </c>
      <c r="I30" s="11">
        <v>0</v>
      </c>
      <c r="J30" s="11">
        <v>0</v>
      </c>
      <c r="K30" s="11">
        <v>0</v>
      </c>
      <c r="L30" s="26" t="str">
        <f t="shared" si="12"/>
        <v>07:24</v>
      </c>
      <c r="M30" s="26" t="str">
        <f>IF(OR(F30="N",F30="F"),"0:00",
IF(
OR(
AND(Masterdata!$B$4&lt;&gt;DATE(1900,1,0),Masterdata!$B$4&lt;$E30),
AND(Masterdata!$B$3&lt;&gt;DATE(1900,1,0),Masterdata!$B$3&gt;$E30)
),"0:00",
IF(
$I30&gt;TIME(0,0,0),
IF(
NOT(OR($C30="mandag",$C30="tirsdag",$C30="onsdag",$C30="torsdag",$C30="fredag")),
TEXT($I30,"[tt]:mm"),
IF($I30-$G30&gt;=0,TEXT($I30-$G30,"[tt]:mm"),"-"&amp;TEXT(ABS($I30-$G30),"[tt]:mm"))
),
IF(
NOT(OR($C30="mandag",$C30="tirsdag",$C30="onsdag",$C30="torsdag",$C30="fredag")),
IF($K30-$J30&gt;=0,TEXT($K30-$J30,"[tt]:mm"),"-"&amp;TEXT(ABS($K30-$J30),"[tt]:mm")),
IF(
$K30-$J30-$G30&gt;=0,
TEXT($K30-$J30-$G30,"[tt]:mm"),
"-"&amp;TEXT(ABS($K30-$J30-$G30),"[tt]:mm")
)
)
)
))</f>
        <v>0:00</v>
      </c>
      <c r="N30" s="71" t="str">
        <f t="shared" si="13"/>
        <v>0</v>
      </c>
      <c r="O30" s="25" t="str">
        <f t="shared" si="5"/>
        <v>0:</v>
      </c>
      <c r="P30" s="52" t="str">
        <f t="shared" si="6"/>
        <v>0</v>
      </c>
      <c r="Q30" s="53">
        <f t="shared" si="10"/>
        <v>0</v>
      </c>
      <c r="R30" s="30">
        <f t="shared" si="14"/>
        <v>0</v>
      </c>
      <c r="S30" s="98"/>
      <c r="T30" s="98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</row>
    <row r="31" spans="1:45" x14ac:dyDescent="0.3">
      <c r="A31" s="7">
        <f t="shared" si="2"/>
        <v>43</v>
      </c>
      <c r="B31" s="8">
        <f t="shared" si="9"/>
        <v>46318</v>
      </c>
      <c r="C31" s="9" t="str" cm="1">
        <f t="array" ref="C31">_xlfn.XLOOKUP(E31,Masterdata!$B$31:$B$44,Masterdata!$A$31:$A$44,_xlfn.SWITCH(WEEKDAY($D31, 2), 1, "mandag", 2, "tirsdag", 3, "onsdag", 4, "torsdag", 5, "fredag", 6, "lørdag", 7, "søndag"),0)</f>
        <v>fredag</v>
      </c>
      <c r="D31" s="29">
        <f t="shared" si="0"/>
        <v>6</v>
      </c>
      <c r="E31" s="70">
        <f t="shared" si="3"/>
        <v>46318</v>
      </c>
      <c r="F31" s="10" t="s">
        <v>23</v>
      </c>
      <c r="G31" s="12">
        <f>IF(OR(AND(F31="N",NOT(OR(C31="mandag",C31="tirsdag",C31="onsdag",C31="torsdag",C31="fredag"))),F31="F"),0,
        IF(OR(
            AND(Masterdata!$B$4&lt;&gt;DATE(1900,1,0), Masterdata!$B$4&lt;$E31),
            AND(Masterdata!$B$3&lt;&gt;DATE(1900,1,0), Masterdata!$B$3&gt;$E31)
        ),
        0, $X$7/(5-H31)))</f>
        <v>0.30833333333333335</v>
      </c>
      <c r="H31" s="86">
        <f>SUMPRODUCT(COUNTIFS(September!$A$9:$A$39,$A31,September!$D$9:$D$39,"&lt;7",September!$F$9:$F$39,"F")+COUNTIFS($A$9:$A$38,$A31,$D$9:$D$38,"&lt;7",$F$9:$F$38,"F")+COUNTIFS(November!$A$9:$A$39,$A31,November!$D$9:$D$39,"&lt;7",November!$F$9:$F$39,"F"))</f>
        <v>0</v>
      </c>
      <c r="I31" s="11">
        <v>0</v>
      </c>
      <c r="J31" s="11">
        <v>0</v>
      </c>
      <c r="K31" s="11">
        <v>0</v>
      </c>
      <c r="L31" s="26" t="str">
        <f t="shared" si="12"/>
        <v>07:24</v>
      </c>
      <c r="M31" s="26" t="str">
        <f>IF(OR(F31="N",F31="F"),"0:00",
IF(
OR(
AND(Masterdata!$B$4&lt;&gt;DATE(1900,1,0),Masterdata!$B$4&lt;$E31),
AND(Masterdata!$B$3&lt;&gt;DATE(1900,1,0),Masterdata!$B$3&gt;$E31)
),"0:00",
IF(
$I31&gt;TIME(0,0,0),
IF(
NOT(OR($C31="mandag",$C31="tirsdag",$C31="onsdag",$C31="torsdag",$C31="fredag")),
TEXT($I31,"[tt]:mm"),
IF($I31-$G31&gt;=0,TEXT($I31-$G31,"[tt]:mm"),"-"&amp;TEXT(ABS($I31-$G31),"[tt]:mm"))
),
IF(
NOT(OR($C31="mandag",$C31="tirsdag",$C31="onsdag",$C31="torsdag",$C31="fredag")),
IF($K31-$J31&gt;=0,TEXT($K31-$J31,"[tt]:mm"),"-"&amp;TEXT(ABS($K31-$J31),"[tt]:mm")),
IF(
$K31-$J31-$G31&gt;=0,
TEXT($K31-$J31-$G31,"[tt]:mm"),
"-"&amp;TEXT(ABS($K31-$J31-$G31),"[tt]:mm")
)
)
)
))</f>
        <v>0:00</v>
      </c>
      <c r="N31" s="71" t="str">
        <f t="shared" si="13"/>
        <v>0</v>
      </c>
      <c r="O31" s="25" t="str">
        <f t="shared" si="5"/>
        <v>0:</v>
      </c>
      <c r="P31" s="52" t="str">
        <f t="shared" si="6"/>
        <v>0</v>
      </c>
      <c r="Q31" s="53">
        <f t="shared" si="10"/>
        <v>0</v>
      </c>
      <c r="R31" s="30">
        <f t="shared" si="14"/>
        <v>0</v>
      </c>
      <c r="S31" s="98"/>
      <c r="T31" s="98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</row>
    <row r="32" spans="1:45" x14ac:dyDescent="0.3">
      <c r="A32" s="7">
        <f t="shared" si="2"/>
        <v>43</v>
      </c>
      <c r="B32" s="8">
        <f t="shared" si="9"/>
        <v>46319</v>
      </c>
      <c r="C32" s="9" t="str" cm="1">
        <f t="array" ref="C32">_xlfn.XLOOKUP(E32,Masterdata!$B$31:$B$44,Masterdata!$A$31:$A$44,_xlfn.SWITCH(WEEKDAY($D32, 2), 1, "mandag", 2, "tirsdag", 3, "onsdag", 4, "torsdag", 5, "fredag", 6, "lørdag", 7, "søndag"),0)</f>
        <v>lørdag</v>
      </c>
      <c r="D32" s="29">
        <f t="shared" si="0"/>
        <v>7</v>
      </c>
      <c r="E32" s="70">
        <f t="shared" si="3"/>
        <v>46319</v>
      </c>
      <c r="F32" s="10" t="s">
        <v>23</v>
      </c>
      <c r="G32" s="12">
        <f>IF(OR(AND(F32="N",NOT(OR(C32="mandag",C32="tirsdag",C32="onsdag",C32="torsdag",C32="fredag"))),F32="F"),0,
        IF(OR(
            AND(Masterdata!$B$4&lt;&gt;DATE(1900,1,0), Masterdata!$B$4&lt;$E32),
            AND(Masterdata!$B$3&lt;&gt;DATE(1900,1,0), Masterdata!$B$3&gt;$E32)
        ),
        0, $X$7/(5-H32)))</f>
        <v>0</v>
      </c>
      <c r="H32" s="86">
        <f>SUMPRODUCT(COUNTIFS(September!$A$9:$A$39,$A32,September!$D$9:$D$39,"&lt;7",September!$F$9:$F$39,"F")+COUNTIFS($A$9:$A$38,$A32,$D$9:$D$38,"&lt;7",$F$9:$F$38,"F")+COUNTIFS(November!$A$9:$A$39,$A32,November!$D$9:$D$39,"&lt;7",November!$F$9:$F$39,"F"))</f>
        <v>0</v>
      </c>
      <c r="I32" s="11">
        <v>0</v>
      </c>
      <c r="J32" s="11">
        <v>0</v>
      </c>
      <c r="K32" s="11">
        <v>0</v>
      </c>
      <c r="L32" s="26" t="str">
        <f t="shared" si="12"/>
        <v>00:00</v>
      </c>
      <c r="M32" s="26" t="str">
        <f>IF(OR(F32="N",F32="F"),"0:00",
IF(
OR(
AND(Masterdata!$B$4&lt;&gt;DATE(1900,1,0),Masterdata!$B$4&lt;$E32),
AND(Masterdata!$B$3&lt;&gt;DATE(1900,1,0),Masterdata!$B$3&gt;$E32)
),"0:00",
IF(
$I32&gt;TIME(0,0,0),
IF(
NOT(OR($C32="mandag",$C32="tirsdag",$C32="onsdag",$C32="torsdag",$C32="fredag")),
TEXT($I32,"[tt]:mm"),
IF($I32-$G32&gt;=0,TEXT($I32-$G32,"[tt]:mm"),"-"&amp;TEXT(ABS($I32-$G32),"[tt]:mm"))
),
IF(
NOT(OR($C32="mandag",$C32="tirsdag",$C32="onsdag",$C32="torsdag",$C32="fredag")),
IF($K32-$J32&gt;=0,TEXT($K32-$J32,"[tt]:mm"),"-"&amp;TEXT(ABS($K32-$J32),"[tt]:mm")),
IF(
$K32-$J32-$G32&gt;=0,
TEXT($K32-$J32-$G32,"[tt]:mm"),
"-"&amp;TEXT(ABS($K32-$J32-$G32),"[tt]:mm")
)
)
)
))</f>
        <v>0:00</v>
      </c>
      <c r="N32" s="71" t="str">
        <f t="shared" si="13"/>
        <v>0</v>
      </c>
      <c r="O32" s="25" t="str">
        <f t="shared" si="5"/>
        <v>0:</v>
      </c>
      <c r="P32" s="52" t="str">
        <f t="shared" si="6"/>
        <v>0</v>
      </c>
      <c r="Q32" s="53">
        <f t="shared" si="10"/>
        <v>0</v>
      </c>
      <c r="R32" s="30">
        <f t="shared" si="14"/>
        <v>0</v>
      </c>
      <c r="S32" s="98"/>
      <c r="T32" s="98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</row>
    <row r="33" spans="1:45" x14ac:dyDescent="0.3">
      <c r="A33" s="7">
        <f t="shared" si="2"/>
        <v>43</v>
      </c>
      <c r="B33" s="8">
        <f t="shared" si="9"/>
        <v>46320</v>
      </c>
      <c r="C33" s="9" t="str" cm="1">
        <f t="array" ref="C33">_xlfn.XLOOKUP(E33,Masterdata!$B$31:$B$44,Masterdata!$A$31:$A$44,_xlfn.SWITCH(WEEKDAY($D33, 2), 1, "mandag", 2, "tirsdag", 3, "onsdag", 4, "torsdag", 5, "fredag", 6, "lørdag", 7, "søndag"),0)</f>
        <v>søndag</v>
      </c>
      <c r="D33" s="29">
        <f t="shared" si="0"/>
        <v>8</v>
      </c>
      <c r="E33" s="70">
        <f t="shared" si="3"/>
        <v>46320</v>
      </c>
      <c r="F33" s="10" t="s">
        <v>23</v>
      </c>
      <c r="G33" s="12">
        <f>IF(OR(AND(F33="N",NOT(OR(C33="mandag",C33="tirsdag",C33="onsdag",C33="torsdag",C33="fredag"))),F33="F"),0,
        IF(OR(
            AND(Masterdata!$B$4&lt;&gt;DATE(1900,1,0), Masterdata!$B$4&lt;$E33),
            AND(Masterdata!$B$3&lt;&gt;DATE(1900,1,0), Masterdata!$B$3&gt;$E33)
        ),
        0, $X$7/(5-H33)))</f>
        <v>0</v>
      </c>
      <c r="H33" s="86">
        <f>SUMPRODUCT(COUNTIFS(September!$A$9:$A$39,$A33,September!$D$9:$D$39,"&lt;7",September!$F$9:$F$39,"F")+COUNTIFS($A$9:$A$38,$A33,$D$9:$D$38,"&lt;7",$F$9:$F$38,"F")+COUNTIFS(November!$A$9:$A$39,$A33,November!$D$9:$D$39,"&lt;7",November!$F$9:$F$39,"F"))</f>
        <v>0</v>
      </c>
      <c r="I33" s="11">
        <v>0</v>
      </c>
      <c r="J33" s="11">
        <v>0</v>
      </c>
      <c r="K33" s="11">
        <v>0</v>
      </c>
      <c r="L33" s="26" t="str">
        <f t="shared" si="12"/>
        <v>00:00</v>
      </c>
      <c r="M33" s="26" t="str">
        <f>IF(OR(F33="N",F33="F"),"0:00",
IF(
OR(
AND(Masterdata!$B$4&lt;&gt;DATE(1900,1,0),Masterdata!$B$4&lt;$E33),
AND(Masterdata!$B$3&lt;&gt;DATE(1900,1,0),Masterdata!$B$3&gt;$E33)
),"0:00",
IF(
$I33&gt;TIME(0,0,0),
IF(
NOT(OR($C33="mandag",$C33="tirsdag",$C33="onsdag",$C33="torsdag",$C33="fredag")),
TEXT($I33,"[tt]:mm"),
IF($I33-$G33&gt;=0,TEXT($I33-$G33,"[tt]:mm"),"-"&amp;TEXT(ABS($I33-$G33),"[tt]:mm"))
),
IF(
NOT(OR($C33="mandag",$C33="tirsdag",$C33="onsdag",$C33="torsdag",$C33="fredag")),
IF($K33-$J33&gt;=0,TEXT($K33-$J33,"[tt]:mm"),"-"&amp;TEXT(ABS($K33-$J33),"[tt]:mm")),
IF(
$K33-$J33-$G33&gt;=0,
TEXT($K33-$J33-$G33,"[tt]:mm"),
"-"&amp;TEXT(ABS($K33-$J33-$G33),"[tt]:mm")
)
)
)
))</f>
        <v>0:00</v>
      </c>
      <c r="N33" s="71" t="str">
        <f t="shared" si="13"/>
        <v>0</v>
      </c>
      <c r="O33" s="25" t="str">
        <f t="shared" si="5"/>
        <v>0:</v>
      </c>
      <c r="P33" s="52" t="str">
        <f t="shared" si="6"/>
        <v>0</v>
      </c>
      <c r="Q33" s="53">
        <f t="shared" si="10"/>
        <v>0</v>
      </c>
      <c r="R33" s="30">
        <f t="shared" si="14"/>
        <v>0</v>
      </c>
      <c r="S33" s="98"/>
      <c r="T33" s="98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</row>
    <row r="34" spans="1:45" x14ac:dyDescent="0.3">
      <c r="A34" s="7">
        <f t="shared" si="2"/>
        <v>44</v>
      </c>
      <c r="B34" s="8">
        <f t="shared" si="9"/>
        <v>46321</v>
      </c>
      <c r="C34" s="9" t="str" cm="1">
        <f t="array" ref="C34">_xlfn.XLOOKUP(E34,Masterdata!$B$31:$B$44,Masterdata!$A$31:$A$44,_xlfn.SWITCH(WEEKDAY($D34, 2), 1, "mandag", 2, "tirsdag", 3, "onsdag", 4, "torsdag", 5, "fredag", 6, "lørdag", 7, "søndag"),0)</f>
        <v>mandag</v>
      </c>
      <c r="D34" s="29">
        <f t="shared" si="0"/>
        <v>2</v>
      </c>
      <c r="E34" s="70">
        <f t="shared" si="3"/>
        <v>46321</v>
      </c>
      <c r="F34" s="10" t="s">
        <v>23</v>
      </c>
      <c r="G34" s="12">
        <f>IF(OR(AND(F34="N",NOT(OR(C34="mandag",C34="tirsdag",C34="onsdag",C34="torsdag",C34="fredag"))),F34="F"),0,
        IF(OR(
            AND(Masterdata!$B$4&lt;&gt;DATE(1900,1,0), Masterdata!$B$4&lt;$E34),
            AND(Masterdata!$B$3&lt;&gt;DATE(1900,1,0), Masterdata!$B$3&gt;$E34)
        ),
        0, $X$7/(5-H34)))</f>
        <v>0.30833333333333335</v>
      </c>
      <c r="H34" s="86">
        <f>SUMPRODUCT(COUNTIFS(September!$A$9:$A$39,$A34,September!$D$9:$D$39,"&lt;7",September!$F$9:$F$39,"F")+COUNTIFS($A$9:$A$38,$A34,$D$9:$D$38,"&lt;7",$F$9:$F$38,"F")+COUNTIFS(November!$A$9:$A$39,$A34,November!$D$9:$D$39,"&lt;7",November!$F$9:$F$39,"F"))</f>
        <v>0</v>
      </c>
      <c r="I34" s="11">
        <v>0</v>
      </c>
      <c r="J34" s="11">
        <v>0</v>
      </c>
      <c r="K34" s="11">
        <v>0</v>
      </c>
      <c r="L34" s="26" t="str">
        <f t="shared" si="12"/>
        <v>07:24</v>
      </c>
      <c r="M34" s="26" t="str">
        <f>IF(OR(F34="N",F34="F"),"0:00",
IF(
OR(
AND(Masterdata!$B$4&lt;&gt;DATE(1900,1,0),Masterdata!$B$4&lt;$E34),
AND(Masterdata!$B$3&lt;&gt;DATE(1900,1,0),Masterdata!$B$3&gt;$E34)
),"0:00",
IF(
$I34&gt;TIME(0,0,0),
IF(
NOT(OR($C34="mandag",$C34="tirsdag",$C34="onsdag",$C34="torsdag",$C34="fredag")),
TEXT($I34,"[tt]:mm"),
IF($I34-$G34&gt;=0,TEXT($I34-$G34,"[tt]:mm"),"-"&amp;TEXT(ABS($I34-$G34),"[tt]:mm"))
),
IF(
NOT(OR($C34="mandag",$C34="tirsdag",$C34="onsdag",$C34="torsdag",$C34="fredag")),
IF($K34-$J34&gt;=0,TEXT($K34-$J34,"[tt]:mm"),"-"&amp;TEXT(ABS($K34-$J34),"[tt]:mm")),
IF(
$K34-$J34-$G34&gt;=0,
TEXT($K34-$J34-$G34,"[tt]:mm"),
"-"&amp;TEXT(ABS($K34-$J34-$G34),"[tt]:mm")
)
)
)
))</f>
        <v>0:00</v>
      </c>
      <c r="N34" s="71" t="str">
        <f t="shared" ref="N34:N39" si="15">LEFT(M34,1)</f>
        <v>0</v>
      </c>
      <c r="O34" s="25" t="str">
        <f t="shared" si="5"/>
        <v>0:</v>
      </c>
      <c r="P34" s="52" t="str">
        <f t="shared" si="6"/>
        <v>0</v>
      </c>
      <c r="Q34" s="53">
        <f t="shared" ref="Q34:Q39" si="16">P34/60</f>
        <v>0</v>
      </c>
      <c r="R34" s="30">
        <f t="shared" ref="R34:R39" si="17">IF(N34="-",O34-Q34,O34+Q34)</f>
        <v>0</v>
      </c>
      <c r="S34" s="98"/>
      <c r="T34" s="98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</row>
    <row r="35" spans="1:45" x14ac:dyDescent="0.3">
      <c r="A35" s="7">
        <f t="shared" si="2"/>
        <v>44</v>
      </c>
      <c r="B35" s="8">
        <f t="shared" si="9"/>
        <v>46322</v>
      </c>
      <c r="C35" s="9" t="str" cm="1">
        <f t="array" ref="C35">_xlfn.XLOOKUP(E35,Masterdata!$B$31:$B$44,Masterdata!$A$31:$A$44,_xlfn.SWITCH(WEEKDAY($D35, 2), 1, "mandag", 2, "tirsdag", 3, "onsdag", 4, "torsdag", 5, "fredag", 6, "lørdag", 7, "søndag"),0)</f>
        <v>tirsdag</v>
      </c>
      <c r="D35" s="29">
        <f t="shared" si="0"/>
        <v>3</v>
      </c>
      <c r="E35" s="70">
        <f t="shared" si="3"/>
        <v>46322</v>
      </c>
      <c r="F35" s="10" t="s">
        <v>23</v>
      </c>
      <c r="G35" s="12">
        <f>IF(OR(AND(F35="N",NOT(OR(C35="mandag",C35="tirsdag",C35="onsdag",C35="torsdag",C35="fredag"))),F35="F"),0,
        IF(OR(
            AND(Masterdata!$B$4&lt;&gt;DATE(1900,1,0), Masterdata!$B$4&lt;$E35),
            AND(Masterdata!$B$3&lt;&gt;DATE(1900,1,0), Masterdata!$B$3&gt;$E35)
        ),
        0, $X$7/(5-H35)))</f>
        <v>0.30833333333333335</v>
      </c>
      <c r="H35" s="86">
        <f>SUMPRODUCT(COUNTIFS(September!$A$9:$A$39,$A35,September!$D$9:$D$39,"&lt;7",September!$F$9:$F$39,"F")+COUNTIFS($A$9:$A$38,$A35,$D$9:$D$38,"&lt;7",$F$9:$F$38,"F")+COUNTIFS(November!$A$9:$A$39,$A35,November!$D$9:$D$39,"&lt;7",November!$F$9:$F$39,"F"))</f>
        <v>0</v>
      </c>
      <c r="I35" s="11">
        <v>0</v>
      </c>
      <c r="J35" s="11">
        <v>0</v>
      </c>
      <c r="K35" s="11">
        <v>0</v>
      </c>
      <c r="L35" s="26" t="str">
        <f t="shared" si="12"/>
        <v>07:24</v>
      </c>
      <c r="M35" s="26" t="str">
        <f>IF(OR(F35="N",F35="F"),"0:00",
IF(
OR(
AND(Masterdata!$B$4&lt;&gt;DATE(1900,1,0),Masterdata!$B$4&lt;$E35),
AND(Masterdata!$B$3&lt;&gt;DATE(1900,1,0),Masterdata!$B$3&gt;$E35)
),"0:00",
IF(
$I35&gt;TIME(0,0,0),
IF(
NOT(OR($C35="mandag",$C35="tirsdag",$C35="onsdag",$C35="torsdag",$C35="fredag")),
TEXT($I35,"[tt]:mm"),
IF($I35-$G35&gt;=0,TEXT($I35-$G35,"[tt]:mm"),"-"&amp;TEXT(ABS($I35-$G35),"[tt]:mm"))
),
IF(
NOT(OR($C35="mandag",$C35="tirsdag",$C35="onsdag",$C35="torsdag",$C35="fredag")),
IF($K35-$J35&gt;=0,TEXT($K35-$J35,"[tt]:mm"),"-"&amp;TEXT(ABS($K35-$J35),"[tt]:mm")),
IF(
$K35-$J35-$G35&gt;=0,
TEXT($K35-$J35-$G35,"[tt]:mm"),
"-"&amp;TEXT(ABS($K35-$J35-$G35),"[tt]:mm")
)
)
)
))</f>
        <v>0:00</v>
      </c>
      <c r="N35" s="71" t="str">
        <f t="shared" si="15"/>
        <v>0</v>
      </c>
      <c r="O35" s="25" t="str">
        <f t="shared" si="5"/>
        <v>0:</v>
      </c>
      <c r="P35" s="52" t="str">
        <f t="shared" si="6"/>
        <v>0</v>
      </c>
      <c r="Q35" s="53">
        <f t="shared" si="16"/>
        <v>0</v>
      </c>
      <c r="R35" s="30">
        <f t="shared" si="17"/>
        <v>0</v>
      </c>
      <c r="S35" s="98"/>
      <c r="T35" s="98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</row>
    <row r="36" spans="1:45" x14ac:dyDescent="0.3">
      <c r="A36" s="7">
        <f t="shared" si="2"/>
        <v>44</v>
      </c>
      <c r="B36" s="8">
        <f t="shared" si="9"/>
        <v>46323</v>
      </c>
      <c r="C36" s="9" t="str" cm="1">
        <f t="array" ref="C36">_xlfn.XLOOKUP(E36,Masterdata!$B$31:$B$44,Masterdata!$A$31:$A$44,_xlfn.SWITCH(WEEKDAY($D36, 2), 1, "mandag", 2, "tirsdag", 3, "onsdag", 4, "torsdag", 5, "fredag", 6, "lørdag", 7, "søndag"),0)</f>
        <v>onsdag</v>
      </c>
      <c r="D36" s="29">
        <f t="shared" si="0"/>
        <v>4</v>
      </c>
      <c r="E36" s="70">
        <f t="shared" si="3"/>
        <v>46323</v>
      </c>
      <c r="F36" s="10" t="s">
        <v>23</v>
      </c>
      <c r="G36" s="12">
        <f>IF(OR(AND(F36="N",NOT(OR(C36="mandag",C36="tirsdag",C36="onsdag",C36="torsdag",C36="fredag"))),F36="F"),0,
        IF(OR(
            AND(Masterdata!$B$4&lt;&gt;DATE(1900,1,0), Masterdata!$B$4&lt;$E36),
            AND(Masterdata!$B$3&lt;&gt;DATE(1900,1,0), Masterdata!$B$3&gt;$E36)
        ),
        0, $X$7/(5-H36)))</f>
        <v>0.30833333333333335</v>
      </c>
      <c r="H36" s="86">
        <f>SUMPRODUCT(COUNTIFS(September!$A$9:$A$39,$A36,September!$D$9:$D$39,"&lt;7",September!$F$9:$F$39,"F")+COUNTIFS($A$9:$A$38,$A36,$D$9:$D$38,"&lt;7",$F$9:$F$38,"F")+COUNTIFS(November!$A$9:$A$39,$A36,November!$D$9:$D$39,"&lt;7",November!$F$9:$F$39,"F"))</f>
        <v>0</v>
      </c>
      <c r="I36" s="11">
        <v>0</v>
      </c>
      <c r="J36" s="11">
        <v>0</v>
      </c>
      <c r="K36" s="11">
        <v>0</v>
      </c>
      <c r="L36" s="26" t="str">
        <f t="shared" si="12"/>
        <v>07:24</v>
      </c>
      <c r="M36" s="26" t="str">
        <f>IF(OR(F36="N",F36="F"),"0:00",
IF(
OR(
AND(Masterdata!$B$4&lt;&gt;DATE(1900,1,0),Masterdata!$B$4&lt;$E36),
AND(Masterdata!$B$3&lt;&gt;DATE(1900,1,0),Masterdata!$B$3&gt;$E36)
),"0:00",
IF(
$I36&gt;TIME(0,0,0),
IF(
NOT(OR($C36="mandag",$C36="tirsdag",$C36="onsdag",$C36="torsdag",$C36="fredag")),
TEXT($I36,"[tt]:mm"),
IF($I36-$G36&gt;=0,TEXT($I36-$G36,"[tt]:mm"),"-"&amp;TEXT(ABS($I36-$G36),"[tt]:mm"))
),
IF(
NOT(OR($C36="mandag",$C36="tirsdag",$C36="onsdag",$C36="torsdag",$C36="fredag")),
IF($K36-$J36&gt;=0,TEXT($K36-$J36,"[tt]:mm"),"-"&amp;TEXT(ABS($K36-$J36),"[tt]:mm")),
IF(
$K36-$J36-$G36&gt;=0,
TEXT($K36-$J36-$G36,"[tt]:mm"),
"-"&amp;TEXT(ABS($K36-$J36-$G36),"[tt]:mm")
)
)
)
))</f>
        <v>0:00</v>
      </c>
      <c r="N36" s="71" t="str">
        <f t="shared" si="15"/>
        <v>0</v>
      </c>
      <c r="O36" s="25" t="str">
        <f t="shared" si="5"/>
        <v>0:</v>
      </c>
      <c r="P36" s="52" t="str">
        <f t="shared" si="6"/>
        <v>0</v>
      </c>
      <c r="Q36" s="53">
        <f t="shared" si="16"/>
        <v>0</v>
      </c>
      <c r="R36" s="30">
        <f t="shared" si="17"/>
        <v>0</v>
      </c>
      <c r="S36" s="98"/>
      <c r="T36" s="98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</row>
    <row r="37" spans="1:45" x14ac:dyDescent="0.3">
      <c r="A37" s="7">
        <f t="shared" si="2"/>
        <v>44</v>
      </c>
      <c r="B37" s="8">
        <f t="shared" si="9"/>
        <v>46324</v>
      </c>
      <c r="C37" s="9" t="str" cm="1">
        <f t="array" ref="C37">_xlfn.XLOOKUP(E37,Masterdata!$B$31:$B$44,Masterdata!$A$31:$A$44,_xlfn.SWITCH(WEEKDAY($D37, 2), 1, "mandag", 2, "tirsdag", 3, "onsdag", 4, "torsdag", 5, "fredag", 6, "lørdag", 7, "søndag"),0)</f>
        <v>torsdag</v>
      </c>
      <c r="D37" s="29">
        <f t="shared" si="0"/>
        <v>5</v>
      </c>
      <c r="E37" s="70">
        <f t="shared" si="3"/>
        <v>46324</v>
      </c>
      <c r="F37" s="10" t="s">
        <v>23</v>
      </c>
      <c r="G37" s="12">
        <f>IF(OR(AND(F37="N",NOT(OR(C37="mandag",C37="tirsdag",C37="onsdag",C37="torsdag",C37="fredag"))),F37="F"),0,
        IF(OR(
            AND(Masterdata!$B$4&lt;&gt;DATE(1900,1,0), Masterdata!$B$4&lt;$E37),
            AND(Masterdata!$B$3&lt;&gt;DATE(1900,1,0), Masterdata!$B$3&gt;$E37)
        ),
        0, $X$7/(5-H37)))</f>
        <v>0.30833333333333335</v>
      </c>
      <c r="H37" s="86">
        <f>SUMPRODUCT(COUNTIFS(September!$A$9:$A$39,$A37,September!$D$9:$D$39,"&lt;7",September!$F$9:$F$39,"F")+COUNTIFS($A$9:$A$38,$A37,$D$9:$D$38,"&lt;7",$F$9:$F$38,"F")+COUNTIFS(November!$A$9:$A$39,$A37,November!$D$9:$D$39,"&lt;7",November!$F$9:$F$39,"F"))</f>
        <v>0</v>
      </c>
      <c r="I37" s="11">
        <v>0</v>
      </c>
      <c r="J37" s="11">
        <v>0</v>
      </c>
      <c r="K37" s="11">
        <v>0</v>
      </c>
      <c r="L37" s="26" t="str">
        <f t="shared" si="12"/>
        <v>07:24</v>
      </c>
      <c r="M37" s="26" t="str">
        <f>IF(OR(F37="N",F37="F"),"0:00",
IF(
OR(
AND(Masterdata!$B$4&lt;&gt;DATE(1900,1,0),Masterdata!$B$4&lt;$E37),
AND(Masterdata!$B$3&lt;&gt;DATE(1900,1,0),Masterdata!$B$3&gt;$E37)
),"0:00",
IF(
$I37&gt;TIME(0,0,0),
IF(
NOT(OR($C37="mandag",$C37="tirsdag",$C37="onsdag",$C37="torsdag",$C37="fredag")),
TEXT($I37,"[tt]:mm"),
IF($I37-$G37&gt;=0,TEXT($I37-$G37,"[tt]:mm"),"-"&amp;TEXT(ABS($I37-$G37),"[tt]:mm"))
),
IF(
NOT(OR($C37="mandag",$C37="tirsdag",$C37="onsdag",$C37="torsdag",$C37="fredag")),
IF($K37-$J37&gt;=0,TEXT($K37-$J37,"[tt]:mm"),"-"&amp;TEXT(ABS($K37-$J37),"[tt]:mm")),
IF(
$K37-$J37-$G37&gt;=0,
TEXT($K37-$J37-$G37,"[tt]:mm"),
"-"&amp;TEXT(ABS($K37-$J37-$G37),"[tt]:mm")
)
)
)
))</f>
        <v>0:00</v>
      </c>
      <c r="N37" s="71" t="str">
        <f t="shared" si="15"/>
        <v>0</v>
      </c>
      <c r="O37" s="25" t="str">
        <f t="shared" si="5"/>
        <v>0:</v>
      </c>
      <c r="P37" s="52" t="str">
        <f t="shared" si="6"/>
        <v>0</v>
      </c>
      <c r="Q37" s="53">
        <f t="shared" si="16"/>
        <v>0</v>
      </c>
      <c r="R37" s="30">
        <f t="shared" si="17"/>
        <v>0</v>
      </c>
      <c r="S37" s="98"/>
      <c r="T37" s="98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</row>
    <row r="38" spans="1:45" x14ac:dyDescent="0.3">
      <c r="A38" s="7">
        <f t="shared" si="2"/>
        <v>44</v>
      </c>
      <c r="B38" s="8">
        <f t="shared" si="9"/>
        <v>46325</v>
      </c>
      <c r="C38" s="9" t="str" cm="1">
        <f t="array" ref="C38">_xlfn.XLOOKUP(E38,Masterdata!$B$31:$B$44,Masterdata!$A$31:$A$44,_xlfn.SWITCH(WEEKDAY($D38, 2), 1, "mandag", 2, "tirsdag", 3, "onsdag", 4, "torsdag", 5, "fredag", 6, "lørdag", 7, "søndag"),0)</f>
        <v>fredag</v>
      </c>
      <c r="D38" s="29">
        <f t="shared" si="0"/>
        <v>6</v>
      </c>
      <c r="E38" s="70">
        <f t="shared" si="3"/>
        <v>46325</v>
      </c>
      <c r="F38" s="10" t="s">
        <v>23</v>
      </c>
      <c r="G38" s="12">
        <f>IF(OR(AND(F38="N",NOT(OR(C38="mandag",C38="tirsdag",C38="onsdag",C38="torsdag",C38="fredag"))),F38="F"),0,
        IF(OR(
            AND(Masterdata!$B$4&lt;&gt;DATE(1900,1,0), Masterdata!$B$4&lt;$E38),
            AND(Masterdata!$B$3&lt;&gt;DATE(1900,1,0), Masterdata!$B$3&gt;$E38)
        ),
        0, $X$7/(5-H38)))</f>
        <v>0.30833333333333335</v>
      </c>
      <c r="H38" s="86">
        <f>SUMPRODUCT(COUNTIFS(September!$A$9:$A$39,$A38,September!$D$9:$D$39,"&lt;7",September!$F$9:$F$39,"F")+COUNTIFS($A$9:$A$38,$A38,$D$9:$D$38,"&lt;7",$F$9:$F$38,"F")+COUNTIFS(November!$A$9:$A$39,$A38,November!$D$9:$D$39,"&lt;7",November!$F$9:$F$39,"F"))</f>
        <v>0</v>
      </c>
      <c r="I38" s="11">
        <v>0</v>
      </c>
      <c r="J38" s="11">
        <v>0</v>
      </c>
      <c r="K38" s="11">
        <v>0</v>
      </c>
      <c r="L38" s="26" t="str">
        <f t="shared" si="12"/>
        <v>07:24</v>
      </c>
      <c r="M38" s="26" t="str">
        <f>IF(OR(F38="N",F38="F"),"0:00",
IF(
OR(
AND(Masterdata!$B$4&lt;&gt;DATE(1900,1,0),Masterdata!$B$4&lt;$E38),
AND(Masterdata!$B$3&lt;&gt;DATE(1900,1,0),Masterdata!$B$3&gt;$E38)
),"0:00",
IF(
$I38&gt;TIME(0,0,0),
IF(
NOT(OR($C38="mandag",$C38="tirsdag",$C38="onsdag",$C38="torsdag",$C38="fredag")),
TEXT($I38,"[tt]:mm"),
IF($I38-$G38&gt;=0,TEXT($I38-$G38,"[tt]:mm"),"-"&amp;TEXT(ABS($I38-$G38),"[tt]:mm"))
),
IF(
NOT(OR($C38="mandag",$C38="tirsdag",$C38="onsdag",$C38="torsdag",$C38="fredag")),
IF($K38-$J38&gt;=0,TEXT($K38-$J38,"[tt]:mm"),"-"&amp;TEXT(ABS($K38-$J38),"[tt]:mm")),
IF(
$K38-$J38-$G38&gt;=0,
TEXT($K38-$J38-$G38,"[tt]:mm"),
"-"&amp;TEXT(ABS($K38-$J38-$G38),"[tt]:mm")
)
)
)
))</f>
        <v>0:00</v>
      </c>
      <c r="N38" s="71" t="str">
        <f t="shared" si="15"/>
        <v>0</v>
      </c>
      <c r="O38" s="25" t="str">
        <f t="shared" si="5"/>
        <v>0:</v>
      </c>
      <c r="P38" s="52" t="str">
        <f t="shared" si="6"/>
        <v>0</v>
      </c>
      <c r="Q38" s="53">
        <f t="shared" si="16"/>
        <v>0</v>
      </c>
      <c r="R38" s="30">
        <f t="shared" si="17"/>
        <v>0</v>
      </c>
      <c r="S38" s="98"/>
      <c r="T38" s="98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</row>
    <row r="39" spans="1:45" x14ac:dyDescent="0.3">
      <c r="A39" s="7">
        <f t="shared" si="2"/>
        <v>44</v>
      </c>
      <c r="B39" s="8">
        <f t="shared" si="9"/>
        <v>46326</v>
      </c>
      <c r="C39" s="9" t="str" cm="1">
        <f t="array" ref="C39">_xlfn.XLOOKUP(E39,Masterdata!$B$31:$B$44,Masterdata!$A$31:$A$44,_xlfn.SWITCH(WEEKDAY($D39, 2), 1, "mandag", 2, "tirsdag", 3, "onsdag", 4, "torsdag", 5, "fredag", 6, "lørdag", 7, "søndag"),0)</f>
        <v>lørdag</v>
      </c>
      <c r="D39" s="29">
        <f t="shared" si="0"/>
        <v>7</v>
      </c>
      <c r="E39" s="70">
        <f t="shared" si="3"/>
        <v>46326</v>
      </c>
      <c r="F39" s="10" t="s">
        <v>23</v>
      </c>
      <c r="G39" s="12">
        <f>IF(OR(AND(F39="N",NOT(OR(C39="mandag",C39="tirsdag",C39="onsdag",C39="torsdag",C39="fredag"))),F39="F"),0,
        IF(OR(
            AND(Masterdata!$B$4&lt;&gt;DATE(1900,1,0), Masterdata!$B$4&lt;$E39),
            AND(Masterdata!$B$3&lt;&gt;DATE(1900,1,0), Masterdata!$B$3&gt;$E39)
        ),
        0, $X$7/(5-H39)))</f>
        <v>0</v>
      </c>
      <c r="H39" s="86">
        <f>SUMPRODUCT(COUNTIFS(September!$A$9:$A$39,$A39,September!$D$9:$D$39,"&lt;7",September!$F$9:$F$39,"F")+COUNTIFS($A$9:$A$38,$A39,$D$9:$D$38,"&lt;7",$F$9:$F$38,"F")+COUNTIFS(November!$A$9:$A$39,$A39,November!$D$9:$D$39,"&lt;7",November!$F$9:$F$39,"F"))</f>
        <v>0</v>
      </c>
      <c r="I39" s="11">
        <v>0</v>
      </c>
      <c r="J39" s="11">
        <v>0</v>
      </c>
      <c r="K39" s="11">
        <v>0</v>
      </c>
      <c r="L39" s="26" t="str">
        <f t="shared" si="12"/>
        <v>00:00</v>
      </c>
      <c r="M39" s="26" t="str">
        <f>IF(OR(F39="N",F39="F"),"0:00",
IF(
OR(
AND(Masterdata!$B$4&lt;&gt;DATE(1900,1,0),Masterdata!$B$4&lt;$E39),
AND(Masterdata!$B$3&lt;&gt;DATE(1900,1,0),Masterdata!$B$3&gt;$E39)
),"0:00",
IF(
$I39&gt;TIME(0,0,0),
IF(
NOT(OR($C39="mandag",$C39="tirsdag",$C39="onsdag",$C39="torsdag",$C39="fredag")),
TEXT($I39,"[tt]:mm"),
IF($I39-$G39&gt;=0,TEXT($I39-$G39,"[tt]:mm"),"-"&amp;TEXT(ABS($I39-$G39),"[tt]:mm"))
),
IF(
NOT(OR($C39="mandag",$C39="tirsdag",$C39="onsdag",$C39="torsdag",$C39="fredag")),
IF($K39-$J39&gt;=0,TEXT($K39-$J39,"[tt]:mm"),"-"&amp;TEXT(ABS($K39-$J39),"[tt]:mm")),
IF(
$K39-$J39-$G39&gt;=0,
TEXT($K39-$J39-$G39,"[tt]:mm"),
"-"&amp;TEXT(ABS($K39-$J39-$G39),"[tt]:mm")
)
)
)
))</f>
        <v>0:00</v>
      </c>
      <c r="N39" s="71" t="str">
        <f t="shared" si="15"/>
        <v>0</v>
      </c>
      <c r="O39" s="25" t="str">
        <f t="shared" si="5"/>
        <v>0:</v>
      </c>
      <c r="P39" s="52" t="str">
        <f t="shared" si="6"/>
        <v>0</v>
      </c>
      <c r="Q39" s="53">
        <f t="shared" si="16"/>
        <v>0</v>
      </c>
      <c r="R39" s="30">
        <f t="shared" si="17"/>
        <v>0</v>
      </c>
      <c r="S39" s="98"/>
      <c r="T39" s="98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</row>
    <row r="40" spans="1:45" x14ac:dyDescent="0.3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73"/>
      <c r="N40" s="29"/>
      <c r="O40" s="29"/>
      <c r="P40" s="29"/>
      <c r="Q40" s="29"/>
      <c r="R40" s="30">
        <f>SUM(R9:R39)</f>
        <v>0</v>
      </c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</row>
    <row r="41" spans="1:45" x14ac:dyDescent="0.3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</row>
    <row r="42" spans="1:45" x14ac:dyDescent="0.3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</row>
    <row r="43" spans="1:45" x14ac:dyDescent="0.3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</row>
    <row r="44" spans="1:45" x14ac:dyDescent="0.3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</row>
    <row r="45" spans="1:45" x14ac:dyDescent="0.3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</row>
    <row r="46" spans="1:45" x14ac:dyDescent="0.3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</row>
    <row r="47" spans="1:45" x14ac:dyDescent="0.3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</row>
    <row r="48" spans="1:45" x14ac:dyDescent="0.3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</row>
    <row r="49" spans="1:45" x14ac:dyDescent="0.3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</row>
    <row r="50" spans="1:45" x14ac:dyDescent="0.3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</row>
    <row r="51" spans="1:45" x14ac:dyDescent="0.3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</row>
    <row r="52" spans="1:45" x14ac:dyDescent="0.3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</row>
    <row r="53" spans="1:45" x14ac:dyDescent="0.3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</row>
    <row r="54" spans="1:45" x14ac:dyDescent="0.3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</row>
    <row r="55" spans="1:45" x14ac:dyDescent="0.3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</row>
    <row r="56" spans="1:45" x14ac:dyDescent="0.3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</row>
    <row r="57" spans="1:45" x14ac:dyDescent="0.3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</row>
    <row r="58" spans="1:45" x14ac:dyDescent="0.3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</row>
    <row r="59" spans="1:45" x14ac:dyDescent="0.3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</row>
    <row r="60" spans="1:45" x14ac:dyDescent="0.3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</row>
    <row r="61" spans="1:45" x14ac:dyDescent="0.3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</row>
    <row r="62" spans="1:45" x14ac:dyDescent="0.3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</row>
    <row r="63" spans="1:45" x14ac:dyDescent="0.3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</row>
    <row r="64" spans="1:45" x14ac:dyDescent="0.3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</row>
    <row r="65" spans="1:45" x14ac:dyDescent="0.3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</row>
    <row r="66" spans="1:45" x14ac:dyDescent="0.3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</row>
    <row r="67" spans="1:45" x14ac:dyDescent="0.3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</row>
    <row r="68" spans="1:45" x14ac:dyDescent="0.3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</row>
    <row r="69" spans="1:45" x14ac:dyDescent="0.3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</row>
    <row r="70" spans="1:45" x14ac:dyDescent="0.3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</row>
    <row r="71" spans="1:45" x14ac:dyDescent="0.3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</row>
    <row r="72" spans="1:45" x14ac:dyDescent="0.3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</row>
    <row r="73" spans="1:45" x14ac:dyDescent="0.3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</row>
    <row r="74" spans="1:45" x14ac:dyDescent="0.3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</row>
    <row r="75" spans="1:45" x14ac:dyDescent="0.3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</row>
    <row r="76" spans="1:45" x14ac:dyDescent="0.3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</row>
    <row r="77" spans="1:45" x14ac:dyDescent="0.3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</row>
    <row r="78" spans="1:45" x14ac:dyDescent="0.3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</row>
  </sheetData>
  <sheetProtection algorithmName="SHA-512" hashValue="ROwWKVvJqoIrLL3Tc1hJlUjIiU2iASCz809fQGvv9p8WXQ0uXgSLKoooVtXfIsK/+0pwUIRMLpN1eK/bP8JMPA==" saltValue="Pe62uKcUiKcIjEXDEuQ4jw==" spinCount="100000" sheet="1" objects="1" scenarios="1"/>
  <mergeCells count="37">
    <mergeCell ref="S14:T14"/>
    <mergeCell ref="S2:T2"/>
    <mergeCell ref="S3:T3"/>
    <mergeCell ref="S4:T4"/>
    <mergeCell ref="S5:T5"/>
    <mergeCell ref="S6:T6"/>
    <mergeCell ref="S8:T8"/>
    <mergeCell ref="S9:T9"/>
    <mergeCell ref="S10:T10"/>
    <mergeCell ref="S11:T11"/>
    <mergeCell ref="S12:T12"/>
    <mergeCell ref="S13:T13"/>
    <mergeCell ref="S26:T26"/>
    <mergeCell ref="S15:T15"/>
    <mergeCell ref="S16:T16"/>
    <mergeCell ref="S17:T17"/>
    <mergeCell ref="S18:T18"/>
    <mergeCell ref="S19:T19"/>
    <mergeCell ref="S20:T20"/>
    <mergeCell ref="S21:T21"/>
    <mergeCell ref="S22:T22"/>
    <mergeCell ref="S23:T23"/>
    <mergeCell ref="S24:T24"/>
    <mergeCell ref="S25:T25"/>
    <mergeCell ref="S39:T39"/>
    <mergeCell ref="S34:T34"/>
    <mergeCell ref="S27:T27"/>
    <mergeCell ref="S28:T28"/>
    <mergeCell ref="S29:T29"/>
    <mergeCell ref="S30:T30"/>
    <mergeCell ref="S31:T31"/>
    <mergeCell ref="S32:T32"/>
    <mergeCell ref="S33:T33"/>
    <mergeCell ref="S35:T35"/>
    <mergeCell ref="S36:T36"/>
    <mergeCell ref="S37:T37"/>
    <mergeCell ref="S38:T38"/>
  </mergeCells>
  <conditionalFormatting sqref="A9:H39">
    <cfRule type="expression" dxfId="14" priority="1">
      <formula>$F9="F"</formula>
    </cfRule>
    <cfRule type="expression" dxfId="13" priority="3">
      <formula>OR(NOT(OR($C9="mandag", $C9="tirsdag",$C9="onsdag",$C9="torsdag",$C9="fredag")),$F9="F")</formula>
    </cfRule>
  </conditionalFormatting>
  <conditionalFormatting sqref="G9:H39">
    <cfRule type="expression" dxfId="12" priority="5">
      <formula>AND($F9="N", (OR($C9="mandag", $C9="tirsdag",$C9="onsdag",$C9="torsdag",$C9="fredag")))</formula>
    </cfRule>
  </conditionalFormatting>
  <conditionalFormatting sqref="I9:K39">
    <cfRule type="expression" dxfId="11" priority="2">
      <formula>OR($F9="N",$F9="F")</formula>
    </cfRule>
    <cfRule type="expression" dxfId="10" priority="4">
      <formula>$F9="R"</formula>
    </cfRule>
  </conditionalFormatting>
  <dataValidations count="2">
    <dataValidation type="list" allowBlank="1" showInputMessage="1" showErrorMessage="1" sqref="F9:F39" xr:uid="{E6373B9F-B97C-4095-ABDE-6415378C4ED8}">
      <formula1>IF($B$2,$M$3:$M$5,$M$4:$M$5)</formula1>
    </dataValidation>
    <dataValidation type="time" allowBlank="1" showInputMessage="1" showErrorMessage="1" sqref="I9:K39" xr:uid="{F8EB44AF-9E84-4837-8F98-DF501FC8500A}">
      <formula1>0</formula1>
      <formula2>0.999305555555556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BEE91B-6018-48E3-9428-02203FD081C3}">
  <dimension ref="A1:AS77"/>
  <sheetViews>
    <sheetView zoomScale="70" zoomScaleNormal="70" workbookViewId="0">
      <selection activeCell="I5" sqref="I5"/>
    </sheetView>
  </sheetViews>
  <sheetFormatPr defaultRowHeight="14.4" outlineLevelCol="1" x14ac:dyDescent="0.3"/>
  <cols>
    <col min="1" max="1" width="15.5546875" customWidth="1"/>
    <col min="2" max="2" width="14.109375" customWidth="1"/>
    <col min="3" max="3" width="16.6640625" customWidth="1"/>
    <col min="4" max="4" width="15" hidden="1" customWidth="1"/>
    <col min="5" max="5" width="12.88671875" hidden="1" customWidth="1"/>
    <col min="6" max="6" width="13.5546875" bestFit="1" customWidth="1"/>
    <col min="7" max="7" width="16.33203125" bestFit="1" customWidth="1"/>
    <col min="8" max="8" width="24.109375" hidden="1" customWidth="1"/>
    <col min="9" max="9" width="17.88671875" customWidth="1"/>
    <col min="10" max="11" width="11.33203125" customWidth="1"/>
    <col min="12" max="12" width="18.6640625" customWidth="1"/>
    <col min="13" max="13" width="11.5546875" customWidth="1"/>
    <col min="14" max="15" width="11.109375" hidden="1" customWidth="1" outlineLevel="1"/>
    <col min="16" max="16" width="7.6640625" hidden="1" customWidth="1" outlineLevel="1"/>
    <col min="17" max="18" width="7.5546875" hidden="1" customWidth="1" outlineLevel="1"/>
    <col min="19" max="19" width="53.44140625" customWidth="1" collapsed="1"/>
    <col min="20" max="20" width="29.44140625" customWidth="1"/>
    <col min="21" max="21" width="9.109375" hidden="1" customWidth="1" outlineLevel="1"/>
    <col min="22" max="22" width="24.6640625" hidden="1" customWidth="1" outlineLevel="1"/>
    <col min="23" max="23" width="43" hidden="1" customWidth="1" outlineLevel="1"/>
    <col min="24" max="24" width="14" hidden="1" customWidth="1" outlineLevel="1"/>
    <col min="25" max="25" width="19.44140625" customWidth="1" outlineLevel="1"/>
  </cols>
  <sheetData>
    <row r="1" spans="1:45" ht="16.5" customHeight="1" thickBot="1" x14ac:dyDescent="0.35">
      <c r="A1" s="14" t="s">
        <v>102</v>
      </c>
      <c r="B1" s="15">
        <v>37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</row>
    <row r="2" spans="1:45" ht="36" customHeight="1" x14ac:dyDescent="0.3">
      <c r="A2" s="39" t="s">
        <v>130</v>
      </c>
      <c r="B2" s="91" t="b">
        <v>0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48" t="s">
        <v>21</v>
      </c>
      <c r="N2" s="67"/>
      <c r="O2" s="67"/>
      <c r="P2" s="67"/>
      <c r="Q2" s="67"/>
      <c r="R2" s="67"/>
      <c r="S2" s="99" t="s">
        <v>22</v>
      </c>
      <c r="T2" s="100"/>
      <c r="U2" s="45"/>
      <c r="W2" s="45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</row>
    <row r="3" spans="1:45" ht="33.75" customHeight="1" x14ac:dyDescent="0.3">
      <c r="A3" s="38" t="s">
        <v>59</v>
      </c>
      <c r="B3" s="68" t="str">
        <f ca="1">Masterdata!$D$27</f>
        <v>00:00</v>
      </c>
      <c r="C3" s="46"/>
      <c r="D3" s="29"/>
      <c r="E3" s="29"/>
      <c r="F3" s="29"/>
      <c r="G3" s="29"/>
      <c r="H3" s="29"/>
      <c r="I3" s="29"/>
      <c r="J3" s="29"/>
      <c r="K3" s="88"/>
      <c r="L3" s="46"/>
      <c r="M3" s="89" t="s">
        <v>49</v>
      </c>
      <c r="N3" s="29"/>
      <c r="O3" s="29"/>
      <c r="P3" s="29"/>
      <c r="Q3" s="29"/>
      <c r="R3" s="29"/>
      <c r="S3" s="101" t="s">
        <v>131</v>
      </c>
      <c r="T3" s="102"/>
      <c r="U3" s="45"/>
      <c r="V3" s="45"/>
      <c r="W3" s="45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</row>
    <row r="4" spans="1:45" ht="28.8" x14ac:dyDescent="0.3">
      <c r="A4" s="39" t="s">
        <v>63</v>
      </c>
      <c r="B4" s="68" t="str">
        <f>IF(R39&lt;0,"-"&amp;TEXT(ABS(R39/24),"[tt]:mm"),TEXT(R39/24,"[tt]:mm"))</f>
        <v>00:00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35" t="s">
        <v>23</v>
      </c>
      <c r="N4" s="29"/>
      <c r="O4" s="29"/>
      <c r="P4" s="29"/>
      <c r="Q4" s="29"/>
      <c r="R4" s="29"/>
      <c r="S4" s="101" t="s">
        <v>24</v>
      </c>
      <c r="T4" s="102"/>
      <c r="U4" s="46"/>
      <c r="V4" s="46"/>
      <c r="W4" s="46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</row>
    <row r="5" spans="1:45" ht="59.1" customHeight="1" x14ac:dyDescent="0.3">
      <c r="A5" s="17" t="s">
        <v>2</v>
      </c>
      <c r="B5" s="40">
        <f>Masterdata!$B$5</f>
        <v>2026</v>
      </c>
      <c r="C5" s="29"/>
      <c r="D5" s="29"/>
      <c r="E5" s="29"/>
      <c r="F5" s="29"/>
      <c r="G5" s="29"/>
      <c r="H5" s="29"/>
      <c r="I5" s="29"/>
      <c r="J5" s="29"/>
      <c r="K5" s="29"/>
      <c r="L5" s="29"/>
      <c r="M5" s="35" t="s">
        <v>25</v>
      </c>
      <c r="N5" s="29"/>
      <c r="O5" s="29"/>
      <c r="P5" s="29"/>
      <c r="Q5" s="29"/>
      <c r="R5" s="29"/>
      <c r="S5" s="103" t="s">
        <v>120</v>
      </c>
      <c r="T5" s="104"/>
      <c r="U5" s="47"/>
      <c r="V5" s="47"/>
      <c r="W5" s="47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</row>
    <row r="6" spans="1:45" ht="15" thickBot="1" x14ac:dyDescent="0.35">
      <c r="A6" s="13" t="s">
        <v>20</v>
      </c>
      <c r="B6" s="18">
        <f>B9</f>
        <v>46327</v>
      </c>
      <c r="C6" s="29"/>
      <c r="D6" s="29"/>
      <c r="E6" s="29"/>
      <c r="F6" s="29"/>
      <c r="G6" s="29"/>
      <c r="H6" s="29"/>
      <c r="I6" s="29"/>
      <c r="J6" s="29"/>
      <c r="K6" s="29"/>
      <c r="L6" s="29"/>
      <c r="M6" s="36" t="s">
        <v>26</v>
      </c>
      <c r="N6" s="69"/>
      <c r="O6" s="69"/>
      <c r="P6" s="69"/>
      <c r="Q6" s="69"/>
      <c r="R6" s="69"/>
      <c r="S6" s="105" t="s">
        <v>27</v>
      </c>
      <c r="T6" s="106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</row>
    <row r="7" spans="1:45" ht="15" thickBot="1" x14ac:dyDescent="0.35">
      <c r="A7" s="29"/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87">
        <f>$B$1/24</f>
        <v>1.5416666666666667</v>
      </c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</row>
    <row r="8" spans="1:45" ht="21.75" customHeight="1" thickBot="1" x14ac:dyDescent="0.35">
      <c r="A8" s="4" t="s">
        <v>28</v>
      </c>
      <c r="B8" s="5" t="s">
        <v>29</v>
      </c>
      <c r="C8" s="5" t="s">
        <v>30</v>
      </c>
      <c r="D8" s="5" t="s">
        <v>31</v>
      </c>
      <c r="E8" s="5" t="s">
        <v>32</v>
      </c>
      <c r="F8" s="5" t="s">
        <v>21</v>
      </c>
      <c r="G8" s="5" t="s">
        <v>102</v>
      </c>
      <c r="H8" s="5" t="s">
        <v>129</v>
      </c>
      <c r="I8" s="5" t="s">
        <v>33</v>
      </c>
      <c r="J8" s="6" t="s">
        <v>34</v>
      </c>
      <c r="K8" s="6" t="s">
        <v>35</v>
      </c>
      <c r="L8" s="6" t="s">
        <v>103</v>
      </c>
      <c r="M8" s="5" t="s">
        <v>36</v>
      </c>
      <c r="N8" s="22" t="s">
        <v>37</v>
      </c>
      <c r="O8" s="23" t="s">
        <v>38</v>
      </c>
      <c r="P8" s="23" t="s">
        <v>39</v>
      </c>
      <c r="Q8" s="23"/>
      <c r="R8" s="29"/>
      <c r="S8" s="107" t="s">
        <v>40</v>
      </c>
      <c r="T8" s="108"/>
      <c r="U8" s="29"/>
      <c r="V8" s="29"/>
      <c r="W8" s="29" t="s">
        <v>41</v>
      </c>
      <c r="X8" s="29">
        <v>5</v>
      </c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</row>
    <row r="9" spans="1:45" x14ac:dyDescent="0.3">
      <c r="A9" s="7">
        <f>WEEKNUM($B9,21)</f>
        <v>44</v>
      </c>
      <c r="B9" s="8">
        <f>DATE(Masterdata!$B$5,11,1)</f>
        <v>46327</v>
      </c>
      <c r="C9" s="9" t="str" cm="1">
        <f t="array" ref="C9">_xlfn.XLOOKUP(E9,Masterdata!$B$31:$B$44,Masterdata!$A$31:$A$44,_xlfn.SWITCH(WEEKDAY($D9, 2), 1, "mandag", 2, "tirsdag", 3, "onsdag", 4, "torsdag", 5, "fredag", 6, "lørdag", 7, "søndag"),0)</f>
        <v>søndag</v>
      </c>
      <c r="D9" s="29">
        <f t="shared" ref="D9:D38" si="0">WEEKDAY($B9, 2)+1</f>
        <v>8</v>
      </c>
      <c r="E9" s="70">
        <f>$B9</f>
        <v>46327</v>
      </c>
      <c r="F9" s="10" t="s">
        <v>23</v>
      </c>
      <c r="G9" s="12">
        <f>IF(OR(AND(F9="N",NOT(OR(C9="mandag",C9="tirsdag",C9="onsdag",C9="torsdag",C9="fredag"))),F9="F"),0,
        IF(OR(
            AND(Masterdata!$B$4&lt;&gt;DATE(1900,1,0), Masterdata!$B$4&lt;$E9),
            AND(Masterdata!$B$3&lt;&gt;DATE(1900,1,0), Masterdata!$B$3&gt;$E9)
        ),
        0, $X$7/(5-H9)))</f>
        <v>0</v>
      </c>
      <c r="H9" s="86">
        <f>SUMPRODUCT(COUNTIFS(Oktober!$A$9:$A$39,$A9,Oktober!$D$9:$D$39,"&lt;7",Oktober!$F$9:$F$39,"F")+COUNTIFS($A$9:$A$38,$A9,$D$9:$D$38,"&lt;7",$F$9:$F$38,"F")+COUNTIFS(December!$A$9:$A$39,$A9,December!$D$9:$D$39,"&lt;7",December!$F$9:$F$39,"F"))</f>
        <v>0</v>
      </c>
      <c r="I9" s="11">
        <v>0</v>
      </c>
      <c r="J9" s="11">
        <v>0</v>
      </c>
      <c r="K9" s="11">
        <v>0</v>
      </c>
      <c r="L9" s="26" t="str">
        <f t="shared" ref="L9:L15" si="1">IF($F9="F","00:00",
IF($F9="N",TEXT($G9,"[tt]:mm"),
IF($I9&lt;&gt;0,TEXT($I9,"[tt]:mm"),
IF($K9-$J9&gt;=0,
TEXT($K9-$J9,"[tt]:mm"),
"-"&amp;TEXT(ABS($K9-$J9),"[tt]:mm")))))</f>
        <v>00:00</v>
      </c>
      <c r="M9" s="26" t="str">
        <f>IF(OR(F9="N",F9="F"),"0:00",
IF(
OR(
AND(Masterdata!$B$4&lt;&gt;DATE(1900,1,0),Masterdata!$B$4&lt;$E9),
AND(Masterdata!$B$3&lt;&gt;DATE(1900,1,0),Masterdata!$B$3&gt;$E9)
),"0:00",
IF(
$I9&gt;TIME(0,0,0),
IF(
NOT(OR($C9="mandag",$C9="tirsdag",$C9="onsdag",$C9="torsdag",$C9="fredag")),
TEXT($I9,"[tt]:mm"),
IF($I9-$G9&gt;=0,TEXT($I9-$G9,"[tt]:mm"),"-"&amp;TEXT(ABS($I9-$G9),"[tt]:mm"))
),
IF(
NOT(OR($C9="mandag",$C9="tirsdag",$C9="onsdag",$C9="torsdag",$C9="fredag")),
IF($K9-$J9&gt;=0,TEXT($K9-$J9,"[tt]:mm"),"-"&amp;TEXT(ABS($K9-$J9),"[tt]:mm")),
IF(
$K9-$J9-$G9&gt;=0,
TEXT($K9-$J9-$G9,"[tt]:mm"),
"-"&amp;TEXT(ABS($K9-$J9-$G9),"[tt]:mm")
)
)
)
))</f>
        <v>0:00</v>
      </c>
      <c r="N9" s="71" t="str">
        <f>LEFT(M9,1)</f>
        <v>0</v>
      </c>
      <c r="O9" s="25" t="str">
        <f>IF($N9="-",LEFT($M9,3),LEFT($M9,2))</f>
        <v>0:</v>
      </c>
      <c r="P9" s="52" t="str">
        <f>IF($N9="-",MID($M9,5,2),MID($M9,4,2))</f>
        <v>0</v>
      </c>
      <c r="Q9" s="53">
        <f>P9/60</f>
        <v>0</v>
      </c>
      <c r="R9" s="30">
        <f>IF(N9="-",O9-Q9,O9+Q9)</f>
        <v>0</v>
      </c>
      <c r="S9" s="109"/>
      <c r="T9" s="109"/>
      <c r="U9" s="29"/>
      <c r="V9" s="29"/>
      <c r="W9" s="29" t="s">
        <v>42</v>
      </c>
      <c r="X9" s="72">
        <f>$B$1/X8</f>
        <v>7.4</v>
      </c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</row>
    <row r="10" spans="1:45" x14ac:dyDescent="0.3">
      <c r="A10" s="7">
        <f t="shared" ref="A10:A38" si="2">WEEKNUM($B10,21)</f>
        <v>45</v>
      </c>
      <c r="B10" s="8">
        <f>B9+1</f>
        <v>46328</v>
      </c>
      <c r="C10" s="9" t="str" cm="1">
        <f t="array" ref="C10">_xlfn.XLOOKUP(E10,Masterdata!$B$31:$B$44,Masterdata!$A$31:$A$44,_xlfn.SWITCH(WEEKDAY($D10, 2), 1, "mandag", 2, "tirsdag", 3, "onsdag", 4, "torsdag", 5, "fredag", 6, "lørdag", 7, "søndag"),0)</f>
        <v>mandag</v>
      </c>
      <c r="D10" s="29">
        <f t="shared" si="0"/>
        <v>2</v>
      </c>
      <c r="E10" s="70">
        <f t="shared" ref="E10:E38" si="3">$B10</f>
        <v>46328</v>
      </c>
      <c r="F10" s="10" t="s">
        <v>23</v>
      </c>
      <c r="G10" s="12">
        <f>IF(OR(AND(F10="N",NOT(OR(C10="mandag",C10="tirsdag",C10="onsdag",C10="torsdag",C10="fredag"))),F10="F"),0,
        IF(OR(
            AND(Masterdata!$B$4&lt;&gt;DATE(1900,1,0), Masterdata!$B$4&lt;$E10),
            AND(Masterdata!$B$3&lt;&gt;DATE(1900,1,0), Masterdata!$B$3&gt;$E10)
        ),
        0, $X$7/(5-H10)))</f>
        <v>0.30833333333333335</v>
      </c>
      <c r="H10" s="86">
        <f>SUMPRODUCT(COUNTIFS(Oktober!$A$9:$A$39,$A10,Oktober!$D$9:$D$39,"&lt;7",Oktober!$F$9:$F$39,"F")+COUNTIFS($A$9:$A$38,$A10,$D$9:$D$38,"&lt;7",$F$9:$F$38,"F")+COUNTIFS(December!$A$9:$A$39,$A10,December!$D$9:$D$39,"&lt;7",December!$F$9:$F$39,"F"))</f>
        <v>0</v>
      </c>
      <c r="I10" s="11">
        <v>0</v>
      </c>
      <c r="J10" s="11">
        <v>0</v>
      </c>
      <c r="K10" s="11">
        <v>0</v>
      </c>
      <c r="L10" s="26" t="str">
        <f t="shared" si="1"/>
        <v>07:24</v>
      </c>
      <c r="M10" s="26" t="str">
        <f>IF(OR(F10="N",F10="F"),"0:00",
IF(
OR(
AND(Masterdata!$B$4&lt;&gt;DATE(1900,1,0),Masterdata!$B$4&lt;$E10),
AND(Masterdata!$B$3&lt;&gt;DATE(1900,1,0),Masterdata!$B$3&gt;$E10)
),"0:00",
IF(
$I10&gt;TIME(0,0,0),
IF(
NOT(OR($C10="mandag",$C10="tirsdag",$C10="onsdag",$C10="torsdag",$C10="fredag")),
TEXT($I10,"[tt]:mm"),
IF($I10-$G10&gt;=0,TEXT($I10-$G10,"[tt]:mm"),"-"&amp;TEXT(ABS($I10-$G10),"[tt]:mm"))
),
IF(
NOT(OR($C10="mandag",$C10="tirsdag",$C10="onsdag",$C10="torsdag",$C10="fredag")),
IF($K10-$J10&gt;=0,TEXT($K10-$J10,"[tt]:mm"),"-"&amp;TEXT(ABS($K10-$J10),"[tt]:mm")),
IF(
$K10-$J10-$G10&gt;=0,
TEXT($K10-$J10-$G10,"[tt]:mm"),
"-"&amp;TEXT(ABS($K10-$J10-$G10),"[tt]:mm")
)
)
)
))</f>
        <v>0:00</v>
      </c>
      <c r="N10" s="71" t="str">
        <f t="shared" ref="N10:N20" si="4">LEFT(M10,1)</f>
        <v>0</v>
      </c>
      <c r="O10" s="25" t="str">
        <f t="shared" ref="O10:O38" si="5">IF($N10="-",LEFT($M10,3),LEFT($M10,2))</f>
        <v>0:</v>
      </c>
      <c r="P10" s="52" t="str">
        <f t="shared" ref="P10:P38" si="6">IF($N10="-",MID($M10,5,2),MID($M10,4,2))</f>
        <v>0</v>
      </c>
      <c r="Q10" s="53">
        <f t="shared" ref="Q10:Q14" si="7">P10/60</f>
        <v>0</v>
      </c>
      <c r="R10" s="30">
        <f t="shared" ref="R10:R14" si="8">IF(N10="-",O10-Q10,O10+Q10)</f>
        <v>0</v>
      </c>
      <c r="S10" s="109"/>
      <c r="T10" s="109"/>
      <c r="U10" s="29"/>
      <c r="V10" s="29"/>
      <c r="W10" s="29" t="s">
        <v>43</v>
      </c>
      <c r="X10" s="73">
        <f>X9/24</f>
        <v>0.30833333333333335</v>
      </c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</row>
    <row r="11" spans="1:45" x14ac:dyDescent="0.3">
      <c r="A11" s="7">
        <f t="shared" si="2"/>
        <v>45</v>
      </c>
      <c r="B11" s="8">
        <f t="shared" ref="B11:B38" si="9">B10+1</f>
        <v>46329</v>
      </c>
      <c r="C11" s="9" t="str" cm="1">
        <f t="array" ref="C11">_xlfn.XLOOKUP(E11,Masterdata!$B$31:$B$44,Masterdata!$A$31:$A$44,_xlfn.SWITCH(WEEKDAY($D11, 2), 1, "mandag", 2, "tirsdag", 3, "onsdag", 4, "torsdag", 5, "fredag", 6, "lørdag", 7, "søndag"),0)</f>
        <v>tirsdag</v>
      </c>
      <c r="D11" s="29">
        <f t="shared" si="0"/>
        <v>3</v>
      </c>
      <c r="E11" s="70">
        <f t="shared" si="3"/>
        <v>46329</v>
      </c>
      <c r="F11" s="10" t="s">
        <v>23</v>
      </c>
      <c r="G11" s="12">
        <f>IF(OR(AND(F11="N",NOT(OR(C11="mandag",C11="tirsdag",C11="onsdag",C11="torsdag",C11="fredag"))),F11="F"),0,
        IF(OR(
            AND(Masterdata!$B$4&lt;&gt;DATE(1900,1,0), Masterdata!$B$4&lt;$E11),
            AND(Masterdata!$B$3&lt;&gt;DATE(1900,1,0), Masterdata!$B$3&gt;$E11)
        ),
        0, $X$7/(5-H11)))</f>
        <v>0.30833333333333335</v>
      </c>
      <c r="H11" s="86">
        <f>SUMPRODUCT(COUNTIFS(Oktober!$A$9:$A$39,$A11,Oktober!$D$9:$D$39,"&lt;7",Oktober!$F$9:$F$39,"F")+COUNTIFS($A$9:$A$38,$A11,$D$9:$D$38,"&lt;7",$F$9:$F$38,"F")+COUNTIFS(December!$A$9:$A$39,$A11,December!$D$9:$D$39,"&lt;7",December!$F$9:$F$39,"F"))</f>
        <v>0</v>
      </c>
      <c r="I11" s="11">
        <v>0</v>
      </c>
      <c r="J11" s="11">
        <v>0</v>
      </c>
      <c r="K11" s="11">
        <v>0</v>
      </c>
      <c r="L11" s="26" t="str">
        <f t="shared" si="1"/>
        <v>07:24</v>
      </c>
      <c r="M11" s="26" t="str">
        <f>IF(OR(F11="N",F11="F"),"0:00",
IF(
OR(
AND(Masterdata!$B$4&lt;&gt;DATE(1900,1,0),Masterdata!$B$4&lt;$E11),
AND(Masterdata!$B$3&lt;&gt;DATE(1900,1,0),Masterdata!$B$3&gt;$E11)
),"0:00",
IF(
$I11&gt;TIME(0,0,0),
IF(
NOT(OR($C11="mandag",$C11="tirsdag",$C11="onsdag",$C11="torsdag",$C11="fredag")),
TEXT($I11,"[tt]:mm"),
IF($I11-$G11&gt;=0,TEXT($I11-$G11,"[tt]:mm"),"-"&amp;TEXT(ABS($I11-$G11),"[tt]:mm"))
),
IF(
NOT(OR($C11="mandag",$C11="tirsdag",$C11="onsdag",$C11="torsdag",$C11="fredag")),
IF($K11-$J11&gt;=0,TEXT($K11-$J11,"[tt]:mm"),"-"&amp;TEXT(ABS($K11-$J11),"[tt]:mm")),
IF(
$K11-$J11-$G11&gt;=0,
TEXT($K11-$J11-$G11,"[tt]:mm"),
"-"&amp;TEXT(ABS($K11-$J11-$G11),"[tt]:mm")
)
)
)
))</f>
        <v>0:00</v>
      </c>
      <c r="N11" s="71" t="str">
        <f t="shared" si="4"/>
        <v>0</v>
      </c>
      <c r="O11" s="25" t="str">
        <f t="shared" si="5"/>
        <v>0:</v>
      </c>
      <c r="P11" s="52" t="str">
        <f t="shared" si="6"/>
        <v>0</v>
      </c>
      <c r="Q11" s="53">
        <f t="shared" si="7"/>
        <v>0</v>
      </c>
      <c r="R11" s="30">
        <f t="shared" si="8"/>
        <v>0</v>
      </c>
      <c r="S11" s="109"/>
      <c r="T11" s="109"/>
      <c r="U11" s="29" t="s">
        <v>23</v>
      </c>
      <c r="V11" s="29" t="s">
        <v>44</v>
      </c>
      <c r="W11" s="29" t="s">
        <v>45</v>
      </c>
      <c r="X11" s="30">
        <f>(B1/37)*160.33</f>
        <v>160.33000000000001</v>
      </c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</row>
    <row r="12" spans="1:45" x14ac:dyDescent="0.3">
      <c r="A12" s="7">
        <f t="shared" si="2"/>
        <v>45</v>
      </c>
      <c r="B12" s="8">
        <f t="shared" si="9"/>
        <v>46330</v>
      </c>
      <c r="C12" s="9" t="str" cm="1">
        <f t="array" ref="C12">_xlfn.XLOOKUP(E12,Masterdata!$B$31:$B$44,Masterdata!$A$31:$A$44,_xlfn.SWITCH(WEEKDAY($D12, 2), 1, "mandag", 2, "tirsdag", 3, "onsdag", 4, "torsdag", 5, "fredag", 6, "lørdag", 7, "søndag"),0)</f>
        <v>onsdag</v>
      </c>
      <c r="D12" s="29">
        <f t="shared" si="0"/>
        <v>4</v>
      </c>
      <c r="E12" s="70">
        <f t="shared" si="3"/>
        <v>46330</v>
      </c>
      <c r="F12" s="10" t="s">
        <v>23</v>
      </c>
      <c r="G12" s="12">
        <f>IF(OR(AND(F12="N",NOT(OR(C12="mandag",C12="tirsdag",C12="onsdag",C12="torsdag",C12="fredag"))),F12="F"),0,
        IF(OR(
            AND(Masterdata!$B$4&lt;&gt;DATE(1900,1,0), Masterdata!$B$4&lt;$E12),
            AND(Masterdata!$B$3&lt;&gt;DATE(1900,1,0), Masterdata!$B$3&gt;$E12)
        ),
        0, $X$7/(5-H12)))</f>
        <v>0.30833333333333335</v>
      </c>
      <c r="H12" s="86">
        <f>SUMPRODUCT(COUNTIFS(Oktober!$A$9:$A$39,$A12,Oktober!$D$9:$D$39,"&lt;7",Oktober!$F$9:$F$39,"F")+COUNTIFS($A$9:$A$38,$A12,$D$9:$D$38,"&lt;7",$F$9:$F$38,"F")+COUNTIFS(December!$A$9:$A$39,$A12,December!$D$9:$D$39,"&lt;7",December!$F$9:$F$39,"F"))</f>
        <v>0</v>
      </c>
      <c r="I12" s="11">
        <v>0</v>
      </c>
      <c r="J12" s="11">
        <v>0</v>
      </c>
      <c r="K12" s="11">
        <v>0</v>
      </c>
      <c r="L12" s="26" t="str">
        <f t="shared" si="1"/>
        <v>07:24</v>
      </c>
      <c r="M12" s="26" t="str">
        <f>IF(OR(F12="N",F12="F"),"0:00",
IF(
OR(
AND(Masterdata!$B$4&lt;&gt;DATE(1900,1,0),Masterdata!$B$4&lt;$E12),
AND(Masterdata!$B$3&lt;&gt;DATE(1900,1,0),Masterdata!$B$3&gt;$E12)
),"0:00",
IF(
$I12&gt;TIME(0,0,0),
IF(
NOT(OR($C12="mandag",$C12="tirsdag",$C12="onsdag",$C12="torsdag",$C12="fredag")),
TEXT($I12,"[tt]:mm"),
IF($I12-$G12&gt;=0,TEXT($I12-$G12,"[tt]:mm"),"-"&amp;TEXT(ABS($I12-$G12),"[tt]:mm"))
),
IF(
NOT(OR($C12="mandag",$C12="tirsdag",$C12="onsdag",$C12="torsdag",$C12="fredag")),
IF($K12-$J12&gt;=0,TEXT($K12-$J12,"[tt]:mm"),"-"&amp;TEXT(ABS($K12-$J12),"[tt]:mm")),
IF(
$K12-$J12-$G12&gt;=0,
TEXT($K12-$J12-$G12,"[tt]:mm"),
"-"&amp;TEXT(ABS($K12-$J12-$G12),"[tt]:mm")
)
)
)
))</f>
        <v>0:00</v>
      </c>
      <c r="N12" s="71" t="str">
        <f t="shared" si="4"/>
        <v>0</v>
      </c>
      <c r="O12" s="25" t="str">
        <f t="shared" si="5"/>
        <v>0:</v>
      </c>
      <c r="P12" s="52" t="str">
        <f t="shared" si="6"/>
        <v>0</v>
      </c>
      <c r="Q12" s="53">
        <f t="shared" si="7"/>
        <v>0</v>
      </c>
      <c r="R12" s="30">
        <f t="shared" si="8"/>
        <v>0</v>
      </c>
      <c r="S12" s="109"/>
      <c r="T12" s="10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</row>
    <row r="13" spans="1:45" x14ac:dyDescent="0.3">
      <c r="A13" s="7">
        <f t="shared" si="2"/>
        <v>45</v>
      </c>
      <c r="B13" s="8">
        <f t="shared" si="9"/>
        <v>46331</v>
      </c>
      <c r="C13" s="9" t="str" cm="1">
        <f t="array" ref="C13">_xlfn.XLOOKUP(E13,Masterdata!$B$31:$B$44,Masterdata!$A$31:$A$44,_xlfn.SWITCH(WEEKDAY($D13, 2), 1, "mandag", 2, "tirsdag", 3, "onsdag", 4, "torsdag", 5, "fredag", 6, "lørdag", 7, "søndag"),0)</f>
        <v>torsdag</v>
      </c>
      <c r="D13" s="29">
        <f t="shared" si="0"/>
        <v>5</v>
      </c>
      <c r="E13" s="70">
        <f t="shared" si="3"/>
        <v>46331</v>
      </c>
      <c r="F13" s="10" t="s">
        <v>23</v>
      </c>
      <c r="G13" s="12">
        <f>IF(OR(AND(F13="N",NOT(OR(C13="mandag",C13="tirsdag",C13="onsdag",C13="torsdag",C13="fredag"))),F13="F"),0,
        IF(OR(
            AND(Masterdata!$B$4&lt;&gt;DATE(1900,1,0), Masterdata!$B$4&lt;$E13),
            AND(Masterdata!$B$3&lt;&gt;DATE(1900,1,0), Masterdata!$B$3&gt;$E13)
        ),
        0, $X$7/(5-H13)))</f>
        <v>0.30833333333333335</v>
      </c>
      <c r="H13" s="86">
        <f>SUMPRODUCT(COUNTIFS(Oktober!$A$9:$A$39,$A13,Oktober!$D$9:$D$39,"&lt;7",Oktober!$F$9:$F$39,"F")+COUNTIFS($A$9:$A$38,$A13,$D$9:$D$38,"&lt;7",$F$9:$F$38,"F")+COUNTIFS(December!$A$9:$A$39,$A13,December!$D$9:$D$39,"&lt;7",December!$F$9:$F$39,"F"))</f>
        <v>0</v>
      </c>
      <c r="I13" s="11">
        <v>0</v>
      </c>
      <c r="J13" s="11">
        <v>0</v>
      </c>
      <c r="K13" s="11">
        <v>0</v>
      </c>
      <c r="L13" s="26" t="str">
        <f t="shared" si="1"/>
        <v>07:24</v>
      </c>
      <c r="M13" s="26" t="str">
        <f>IF(OR(F13="N",F13="F"),"0:00",
IF(
OR(
AND(Masterdata!$B$4&lt;&gt;DATE(1900,1,0),Masterdata!$B$4&lt;$E13),
AND(Masterdata!$B$3&lt;&gt;DATE(1900,1,0),Masterdata!$B$3&gt;$E13)
),"0:00",
IF(
$I13&gt;TIME(0,0,0),
IF(
NOT(OR($C13="mandag",$C13="tirsdag",$C13="onsdag",$C13="torsdag",$C13="fredag")),
TEXT($I13,"[tt]:mm"),
IF($I13-$G13&gt;=0,TEXT($I13-$G13,"[tt]:mm"),"-"&amp;TEXT(ABS($I13-$G13),"[tt]:mm"))
),
IF(
NOT(OR($C13="mandag",$C13="tirsdag",$C13="onsdag",$C13="torsdag",$C13="fredag")),
IF($K13-$J13&gt;=0,TEXT($K13-$J13,"[tt]:mm"),"-"&amp;TEXT(ABS($K13-$J13),"[tt]:mm")),
IF(
$K13-$J13-$G13&gt;=0,
TEXT($K13-$J13-$G13,"[tt]:mm"),
"-"&amp;TEXT(ABS($K13-$J13-$G13),"[tt]:mm")
)
)
)
))</f>
        <v>0:00</v>
      </c>
      <c r="N13" s="71" t="str">
        <f t="shared" si="4"/>
        <v>0</v>
      </c>
      <c r="O13" s="25" t="str">
        <f t="shared" si="5"/>
        <v>0:</v>
      </c>
      <c r="P13" s="52" t="str">
        <f t="shared" si="6"/>
        <v>0</v>
      </c>
      <c r="Q13" s="53">
        <f t="shared" si="7"/>
        <v>0</v>
      </c>
      <c r="R13" s="30">
        <f t="shared" si="8"/>
        <v>0</v>
      </c>
      <c r="S13" s="109"/>
      <c r="T13" s="109"/>
      <c r="U13" s="29"/>
      <c r="V13" s="29"/>
      <c r="W13" s="29"/>
      <c r="X13" s="30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</row>
    <row r="14" spans="1:45" x14ac:dyDescent="0.3">
      <c r="A14" s="7">
        <f t="shared" si="2"/>
        <v>45</v>
      </c>
      <c r="B14" s="8">
        <f t="shared" si="9"/>
        <v>46332</v>
      </c>
      <c r="C14" s="9" t="str" cm="1">
        <f t="array" ref="C14">_xlfn.XLOOKUP(E14,Masterdata!$B$31:$B$44,Masterdata!$A$31:$A$44,_xlfn.SWITCH(WEEKDAY($D14, 2), 1, "mandag", 2, "tirsdag", 3, "onsdag", 4, "torsdag", 5, "fredag", 6, "lørdag", 7, "søndag"),0)</f>
        <v>fredag</v>
      </c>
      <c r="D14" s="29">
        <f t="shared" si="0"/>
        <v>6</v>
      </c>
      <c r="E14" s="70">
        <f t="shared" si="3"/>
        <v>46332</v>
      </c>
      <c r="F14" s="10" t="s">
        <v>23</v>
      </c>
      <c r="G14" s="12">
        <f>IF(OR(AND(F14="N",NOT(OR(C14="mandag",C14="tirsdag",C14="onsdag",C14="torsdag",C14="fredag"))),F14="F"),0,
        IF(OR(
            AND(Masterdata!$B$4&lt;&gt;DATE(1900,1,0), Masterdata!$B$4&lt;$E14),
            AND(Masterdata!$B$3&lt;&gt;DATE(1900,1,0), Masterdata!$B$3&gt;$E14)
        ),
        0, $X$7/(5-H14)))</f>
        <v>0.30833333333333335</v>
      </c>
      <c r="H14" s="86">
        <f>SUMPRODUCT(COUNTIFS(Oktober!$A$9:$A$39,$A14,Oktober!$D$9:$D$39,"&lt;7",Oktober!$F$9:$F$39,"F")+COUNTIFS($A$9:$A$38,$A14,$D$9:$D$38,"&lt;7",$F$9:$F$38,"F")+COUNTIFS(December!$A$9:$A$39,$A14,December!$D$9:$D$39,"&lt;7",December!$F$9:$F$39,"F"))</f>
        <v>0</v>
      </c>
      <c r="I14" s="11">
        <v>0</v>
      </c>
      <c r="J14" s="11">
        <v>0</v>
      </c>
      <c r="K14" s="11">
        <v>0</v>
      </c>
      <c r="L14" s="26" t="str">
        <f t="shared" si="1"/>
        <v>07:24</v>
      </c>
      <c r="M14" s="26" t="str">
        <f>IF(OR(F14="N",F14="F"),"0:00",
IF(
OR(
AND(Masterdata!$B$4&lt;&gt;DATE(1900,1,0),Masterdata!$B$4&lt;$E14),
AND(Masterdata!$B$3&lt;&gt;DATE(1900,1,0),Masterdata!$B$3&gt;$E14)
),"0:00",
IF(
$I14&gt;TIME(0,0,0),
IF(
NOT(OR($C14="mandag",$C14="tirsdag",$C14="onsdag",$C14="torsdag",$C14="fredag")),
TEXT($I14,"[tt]:mm"),
IF($I14-$G14&gt;=0,TEXT($I14-$G14,"[tt]:mm"),"-"&amp;TEXT(ABS($I14-$G14),"[tt]:mm"))
),
IF(
NOT(OR($C14="mandag",$C14="tirsdag",$C14="onsdag",$C14="torsdag",$C14="fredag")),
IF($K14-$J14&gt;=0,TEXT($K14-$J14,"[tt]:mm"),"-"&amp;TEXT(ABS($K14-$J14),"[tt]:mm")),
IF(
$K14-$J14-$G14&gt;=0,
TEXT($K14-$J14-$G14,"[tt]:mm"),
"-"&amp;TEXT(ABS($K14-$J14-$G14),"[tt]:mm")
)
)
)
))</f>
        <v>0:00</v>
      </c>
      <c r="N14" s="71" t="str">
        <f t="shared" si="4"/>
        <v>0</v>
      </c>
      <c r="O14" s="25" t="str">
        <f t="shared" si="5"/>
        <v>0:</v>
      </c>
      <c r="P14" s="52" t="str">
        <f t="shared" si="6"/>
        <v>0</v>
      </c>
      <c r="Q14" s="53">
        <f t="shared" si="7"/>
        <v>0</v>
      </c>
      <c r="R14" s="30">
        <f t="shared" si="8"/>
        <v>0</v>
      </c>
      <c r="S14" s="98"/>
      <c r="T14" s="98"/>
      <c r="U14" s="29"/>
      <c r="V14" s="29"/>
      <c r="W14" s="29"/>
      <c r="X14" s="74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</row>
    <row r="15" spans="1:45" x14ac:dyDescent="0.3">
      <c r="A15" s="7">
        <f t="shared" si="2"/>
        <v>45</v>
      </c>
      <c r="B15" s="8">
        <f t="shared" si="9"/>
        <v>46333</v>
      </c>
      <c r="C15" s="9" t="str" cm="1">
        <f t="array" ref="C15">_xlfn.XLOOKUP(E15,Masterdata!$B$31:$B$44,Masterdata!$A$31:$A$44,_xlfn.SWITCH(WEEKDAY($D15, 2), 1, "mandag", 2, "tirsdag", 3, "onsdag", 4, "torsdag", 5, "fredag", 6, "lørdag", 7, "søndag"),0)</f>
        <v>lørdag</v>
      </c>
      <c r="D15" s="29">
        <f t="shared" si="0"/>
        <v>7</v>
      </c>
      <c r="E15" s="70">
        <f t="shared" si="3"/>
        <v>46333</v>
      </c>
      <c r="F15" s="10" t="s">
        <v>23</v>
      </c>
      <c r="G15" s="12">
        <f>IF(OR(AND(F15="N",NOT(OR(C15="mandag",C15="tirsdag",C15="onsdag",C15="torsdag",C15="fredag"))),F15="F"),0,
        IF(OR(
            AND(Masterdata!$B$4&lt;&gt;DATE(1900,1,0), Masterdata!$B$4&lt;$E15),
            AND(Masterdata!$B$3&lt;&gt;DATE(1900,1,0), Masterdata!$B$3&gt;$E15)
        ),
        0, $X$7/(5-H15)))</f>
        <v>0</v>
      </c>
      <c r="H15" s="86">
        <f>SUMPRODUCT(COUNTIFS(Oktober!$A$9:$A$39,$A15,Oktober!$D$9:$D$39,"&lt;7",Oktober!$F$9:$F$39,"F")+COUNTIFS($A$9:$A$38,$A15,$D$9:$D$38,"&lt;7",$F$9:$F$38,"F")+COUNTIFS(December!$A$9:$A$39,$A15,December!$D$9:$D$39,"&lt;7",December!$F$9:$F$39,"F"))</f>
        <v>0</v>
      </c>
      <c r="I15" s="11">
        <v>0</v>
      </c>
      <c r="J15" s="11">
        <v>0</v>
      </c>
      <c r="K15" s="11">
        <v>0</v>
      </c>
      <c r="L15" s="26" t="str">
        <f t="shared" si="1"/>
        <v>00:00</v>
      </c>
      <c r="M15" s="26" t="str">
        <f>IF(OR(F15="N",F15="F"),"0:00",
IF(
OR(
AND(Masterdata!$B$4&lt;&gt;DATE(1900,1,0),Masterdata!$B$4&lt;$E15),
AND(Masterdata!$B$3&lt;&gt;DATE(1900,1,0),Masterdata!$B$3&gt;$E15)
),"0:00",
IF(
$I15&gt;TIME(0,0,0),
IF(
NOT(OR($C15="mandag",$C15="tirsdag",$C15="onsdag",$C15="torsdag",$C15="fredag")),
TEXT($I15,"[tt]:mm"),
IF($I15-$G15&gt;=0,TEXT($I15-$G15,"[tt]:mm"),"-"&amp;TEXT(ABS($I15-$G15),"[tt]:mm"))
),
IF(
NOT(OR($C15="mandag",$C15="tirsdag",$C15="onsdag",$C15="torsdag",$C15="fredag")),
IF($K15-$J15&gt;=0,TEXT($K15-$J15,"[tt]:mm"),"-"&amp;TEXT(ABS($K15-$J15),"[tt]:mm")),
IF(
$K15-$J15-$G15&gt;=0,
TEXT($K15-$J15-$G15,"[tt]:mm"),
"-"&amp;TEXT(ABS($K15-$J15-$G15),"[tt]:mm")
)
)
)
))</f>
        <v>0:00</v>
      </c>
      <c r="N15" s="71" t="str">
        <f t="shared" si="4"/>
        <v>0</v>
      </c>
      <c r="O15" s="25" t="str">
        <f t="shared" si="5"/>
        <v>0:</v>
      </c>
      <c r="P15" s="52" t="str">
        <f t="shared" si="6"/>
        <v>0</v>
      </c>
      <c r="Q15" s="53">
        <f>P15/60</f>
        <v>0</v>
      </c>
      <c r="R15" s="30">
        <f>IF(N15="-",O15-Q15,O15+Q15)</f>
        <v>0</v>
      </c>
      <c r="S15" s="98"/>
      <c r="T15" s="98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</row>
    <row r="16" spans="1:45" x14ac:dyDescent="0.3">
      <c r="A16" s="7">
        <f t="shared" si="2"/>
        <v>45</v>
      </c>
      <c r="B16" s="8">
        <f t="shared" si="9"/>
        <v>46334</v>
      </c>
      <c r="C16" s="9" t="str" cm="1">
        <f t="array" ref="C16">_xlfn.XLOOKUP(E16,Masterdata!$B$31:$B$44,Masterdata!$A$31:$A$44,_xlfn.SWITCH(WEEKDAY($D16, 2), 1, "mandag", 2, "tirsdag", 3, "onsdag", 4, "torsdag", 5, "fredag", 6, "lørdag", 7, "søndag"),0)</f>
        <v>søndag</v>
      </c>
      <c r="D16" s="29">
        <f t="shared" si="0"/>
        <v>8</v>
      </c>
      <c r="E16" s="70">
        <f t="shared" si="3"/>
        <v>46334</v>
      </c>
      <c r="F16" s="10" t="s">
        <v>23</v>
      </c>
      <c r="G16" s="12">
        <f>IF(OR(AND(F16="N",NOT(OR(C16="mandag",C16="tirsdag",C16="onsdag",C16="torsdag",C16="fredag"))),F16="F"),0,
        IF(OR(
            AND(Masterdata!$B$4&lt;&gt;DATE(1900,1,0), Masterdata!$B$4&lt;$E16),
            AND(Masterdata!$B$3&lt;&gt;DATE(1900,1,0), Masterdata!$B$3&gt;$E16)
        ),
        0, $X$7/(5-H16)))</f>
        <v>0</v>
      </c>
      <c r="H16" s="86">
        <f>SUMPRODUCT(COUNTIFS(Oktober!$A$9:$A$39,$A16,Oktober!$D$9:$D$39,"&lt;7",Oktober!$F$9:$F$39,"F")+COUNTIFS($A$9:$A$38,$A16,$D$9:$D$38,"&lt;7",$F$9:$F$38,"F")+COUNTIFS(December!$A$9:$A$39,$A16,December!$D$9:$D$39,"&lt;7",December!$F$9:$F$39,"F"))</f>
        <v>0</v>
      </c>
      <c r="I16" s="11">
        <v>0</v>
      </c>
      <c r="J16" s="11">
        <v>0</v>
      </c>
      <c r="K16" s="11">
        <v>0</v>
      </c>
      <c r="L16" s="26" t="str">
        <f>IF($F16="F","00:00",
IF($F16="N",TEXT($G16,"[tt]:mm"),
IF($I16&lt;&gt;0,TEXT($I16,"[tt]:mm"),
IF($K16-$J16&gt;=0,
TEXT($K16-$J16,"[tt]:mm"),
"-"&amp;TEXT(ABS($K16-$J16),"[tt]:mm")))))</f>
        <v>00:00</v>
      </c>
      <c r="M16" s="26" t="str">
        <f>IF(OR(F16="N",F16="F"),"0:00",
IF(
OR(
AND(Masterdata!$B$4&lt;&gt;DATE(1900,1,0),Masterdata!$B$4&lt;$E16),
AND(Masterdata!$B$3&lt;&gt;DATE(1900,1,0),Masterdata!$B$3&gt;$E16)
),"0:00",
IF(
$I16&gt;TIME(0,0,0),
IF(
NOT(OR($C16="mandag",$C16="tirsdag",$C16="onsdag",$C16="torsdag",$C16="fredag")),
TEXT($I16,"[tt]:mm"),
IF($I16-$G16&gt;=0,TEXT($I16-$G16,"[tt]:mm"),"-"&amp;TEXT(ABS($I16-$G16),"[tt]:mm"))
),
IF(
NOT(OR($C16="mandag",$C16="tirsdag",$C16="onsdag",$C16="torsdag",$C16="fredag")),
IF($K16-$J16&gt;=0,TEXT($K16-$J16,"[tt]:mm"),"-"&amp;TEXT(ABS($K16-$J16),"[tt]:mm")),
IF(
$K16-$J16-$G16&gt;=0,
TEXT($K16-$J16-$G16,"[tt]:mm"),
"-"&amp;TEXT(ABS($K16-$J16-$G16),"[tt]:mm")
)
)
)
))</f>
        <v>0:00</v>
      </c>
      <c r="N16" s="71" t="str">
        <f t="shared" si="4"/>
        <v>0</v>
      </c>
      <c r="O16" s="25" t="str">
        <f t="shared" si="5"/>
        <v>0:</v>
      </c>
      <c r="P16" s="52" t="str">
        <f t="shared" si="6"/>
        <v>0</v>
      </c>
      <c r="Q16" s="53">
        <f t="shared" ref="Q16:Q38" si="10">P16/60</f>
        <v>0</v>
      </c>
      <c r="R16" s="30">
        <f t="shared" ref="R16:R20" si="11">IF(N16="-",O16-Q16,O16+Q16)</f>
        <v>0</v>
      </c>
      <c r="S16" s="98"/>
      <c r="T16" s="98"/>
      <c r="U16" s="29" t="s">
        <v>46</v>
      </c>
      <c r="V16" s="29" t="s">
        <v>47</v>
      </c>
      <c r="W16" s="29" t="s">
        <v>48</v>
      </c>
      <c r="X16" s="30">
        <f>X11-X14</f>
        <v>160.33000000000001</v>
      </c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</row>
    <row r="17" spans="1:45" x14ac:dyDescent="0.3">
      <c r="A17" s="7">
        <f t="shared" si="2"/>
        <v>46</v>
      </c>
      <c r="B17" s="8">
        <f t="shared" si="9"/>
        <v>46335</v>
      </c>
      <c r="C17" s="9" t="str" cm="1">
        <f t="array" ref="C17">_xlfn.XLOOKUP(E17,Masterdata!$B$31:$B$44,Masterdata!$A$31:$A$44,_xlfn.SWITCH(WEEKDAY($D17, 2), 1, "mandag", 2, "tirsdag", 3, "onsdag", 4, "torsdag", 5, "fredag", 6, "lørdag", 7, "søndag"),0)</f>
        <v>mandag</v>
      </c>
      <c r="D17" s="29">
        <f t="shared" si="0"/>
        <v>2</v>
      </c>
      <c r="E17" s="70">
        <f t="shared" si="3"/>
        <v>46335</v>
      </c>
      <c r="F17" s="10" t="s">
        <v>23</v>
      </c>
      <c r="G17" s="12">
        <f>IF(OR(AND(F17="N",NOT(OR(C17="mandag",C17="tirsdag",C17="onsdag",C17="torsdag",C17="fredag"))),F17="F"),0,
        IF(OR(
            AND(Masterdata!$B$4&lt;&gt;DATE(1900,1,0), Masterdata!$B$4&lt;$E17),
            AND(Masterdata!$B$3&lt;&gt;DATE(1900,1,0), Masterdata!$B$3&gt;$E17)
        ),
        0, $X$7/(5-H17)))</f>
        <v>0.30833333333333335</v>
      </c>
      <c r="H17" s="86">
        <f>SUMPRODUCT(COUNTIFS(Oktober!$A$9:$A$39,$A17,Oktober!$D$9:$D$39,"&lt;7",Oktober!$F$9:$F$39,"F")+COUNTIFS($A$9:$A$38,$A17,$D$9:$D$38,"&lt;7",$F$9:$F$38,"F")+COUNTIFS(December!$A$9:$A$39,$A17,December!$D$9:$D$39,"&lt;7",December!$F$9:$F$39,"F"))</f>
        <v>0</v>
      </c>
      <c r="I17" s="11">
        <v>0</v>
      </c>
      <c r="J17" s="11">
        <v>0</v>
      </c>
      <c r="K17" s="11">
        <v>0</v>
      </c>
      <c r="L17" s="26" t="str">
        <f t="shared" ref="L17:L38" si="12">IF($F17="F","00:00",
IF($F17="N",TEXT($G17,"[tt]:mm"),
IF($I17&lt;&gt;0,TEXT($I17,"[tt]:mm"),
IF($K17-$J17&gt;=0,
TEXT($K17-$J17,"[tt]:mm"),
"-"&amp;TEXT(ABS($K17-$J17),"[tt]:mm")))))</f>
        <v>07:24</v>
      </c>
      <c r="M17" s="26" t="str">
        <f>IF(OR(F17="N",F17="F"),"0:00",
IF(
OR(
AND(Masterdata!$B$4&lt;&gt;DATE(1900,1,0),Masterdata!$B$4&lt;$E17),
AND(Masterdata!$B$3&lt;&gt;DATE(1900,1,0),Masterdata!$B$3&gt;$E17)
),"0:00",
IF(
$I17&gt;TIME(0,0,0),
IF(
NOT(OR($C17="mandag",$C17="tirsdag",$C17="onsdag",$C17="torsdag",$C17="fredag")),
TEXT($I17,"[tt]:mm"),
IF($I17-$G17&gt;=0,TEXT($I17-$G17,"[tt]:mm"),"-"&amp;TEXT(ABS($I17-$G17),"[tt]:mm"))
),
IF(
NOT(OR($C17="mandag",$C17="tirsdag",$C17="onsdag",$C17="torsdag",$C17="fredag")),
IF($K17-$J17&gt;=0,TEXT($K17-$J17,"[tt]:mm"),"-"&amp;TEXT(ABS($K17-$J17),"[tt]:mm")),
IF(
$K17-$J17-$G17&gt;=0,
TEXT($K17-$J17-$G17,"[tt]:mm"),
"-"&amp;TEXT(ABS($K17-$J17-$G17),"[tt]:mm")
)
)
)
))</f>
        <v>0:00</v>
      </c>
      <c r="N17" s="71" t="str">
        <f t="shared" si="4"/>
        <v>0</v>
      </c>
      <c r="O17" s="25" t="str">
        <f t="shared" si="5"/>
        <v>0:</v>
      </c>
      <c r="P17" s="52" t="str">
        <f t="shared" si="6"/>
        <v>0</v>
      </c>
      <c r="Q17" s="53">
        <f t="shared" si="10"/>
        <v>0</v>
      </c>
      <c r="R17" s="30">
        <f t="shared" si="11"/>
        <v>0</v>
      </c>
      <c r="S17" s="98"/>
      <c r="T17" s="98"/>
      <c r="U17" s="29" t="s">
        <v>49</v>
      </c>
      <c r="V17" s="29" t="s">
        <v>50</v>
      </c>
      <c r="W17" s="29" t="s">
        <v>51</v>
      </c>
      <c r="X17" s="30" t="e">
        <f>SUM(#REF!)</f>
        <v>#REF!</v>
      </c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</row>
    <row r="18" spans="1:45" x14ac:dyDescent="0.3">
      <c r="A18" s="7">
        <f t="shared" si="2"/>
        <v>46</v>
      </c>
      <c r="B18" s="8">
        <f t="shared" si="9"/>
        <v>46336</v>
      </c>
      <c r="C18" s="9" t="str" cm="1">
        <f t="array" ref="C18">_xlfn.XLOOKUP(E18,Masterdata!$B$31:$B$44,Masterdata!$A$31:$A$44,_xlfn.SWITCH(WEEKDAY($D18, 2), 1, "mandag", 2, "tirsdag", 3, "onsdag", 4, "torsdag", 5, "fredag", 6, "lørdag", 7, "søndag"),0)</f>
        <v>tirsdag</v>
      </c>
      <c r="D18" s="29">
        <f t="shared" si="0"/>
        <v>3</v>
      </c>
      <c r="E18" s="70">
        <f t="shared" si="3"/>
        <v>46336</v>
      </c>
      <c r="F18" s="10" t="s">
        <v>23</v>
      </c>
      <c r="G18" s="12">
        <f>IF(OR(AND(F18="N",NOT(OR(C18="mandag",C18="tirsdag",C18="onsdag",C18="torsdag",C18="fredag"))),F18="F"),0,
        IF(OR(
            AND(Masterdata!$B$4&lt;&gt;DATE(1900,1,0), Masterdata!$B$4&lt;$E18),
            AND(Masterdata!$B$3&lt;&gt;DATE(1900,1,0), Masterdata!$B$3&gt;$E18)
        ),
        0, $X$7/(5-H18)))</f>
        <v>0.30833333333333335</v>
      </c>
      <c r="H18" s="86">
        <f>SUMPRODUCT(COUNTIFS(Oktober!$A$9:$A$39,$A18,Oktober!$D$9:$D$39,"&lt;7",Oktober!$F$9:$F$39,"F")+COUNTIFS($A$9:$A$38,$A18,$D$9:$D$38,"&lt;7",$F$9:$F$38,"F")+COUNTIFS(December!$A$9:$A$39,$A18,December!$D$9:$D$39,"&lt;7",December!$F$9:$F$39,"F"))</f>
        <v>0</v>
      </c>
      <c r="I18" s="11">
        <v>0</v>
      </c>
      <c r="J18" s="11">
        <v>0</v>
      </c>
      <c r="K18" s="11">
        <v>0</v>
      </c>
      <c r="L18" s="26" t="str">
        <f t="shared" si="12"/>
        <v>07:24</v>
      </c>
      <c r="M18" s="26" t="str">
        <f>IF(OR(F18="N",F18="F"),"0:00",
IF(
OR(
AND(Masterdata!$B$4&lt;&gt;DATE(1900,1,0),Masterdata!$B$4&lt;$E18),
AND(Masterdata!$B$3&lt;&gt;DATE(1900,1,0),Masterdata!$B$3&gt;$E18)
),"0:00",
IF(
$I18&gt;TIME(0,0,0),
IF(
NOT(OR($C18="mandag",$C18="tirsdag",$C18="onsdag",$C18="torsdag",$C18="fredag")),
TEXT($I18,"[tt]:mm"),
IF($I18-$G18&gt;=0,TEXT($I18-$G18,"[tt]:mm"),"-"&amp;TEXT(ABS($I18-$G18),"[tt]:mm"))
),
IF(
NOT(OR($C18="mandag",$C18="tirsdag",$C18="onsdag",$C18="torsdag",$C18="fredag")),
IF($K18-$J18&gt;=0,TEXT($K18-$J18,"[tt]:mm"),"-"&amp;TEXT(ABS($K18-$J18),"[tt]:mm")),
IF(
$K18-$J18-$G18&gt;=0,
TEXT($K18-$J18-$G18,"[tt]:mm"),
"-"&amp;TEXT(ABS($K18-$J18-$G18),"[tt]:mm")
)
)
)
))</f>
        <v>0:00</v>
      </c>
      <c r="N18" s="71" t="str">
        <f t="shared" si="4"/>
        <v>0</v>
      </c>
      <c r="O18" s="25" t="str">
        <f t="shared" si="5"/>
        <v>0:</v>
      </c>
      <c r="P18" s="52" t="str">
        <f t="shared" si="6"/>
        <v>0</v>
      </c>
      <c r="Q18" s="53">
        <f t="shared" si="10"/>
        <v>0</v>
      </c>
      <c r="R18" s="30">
        <f t="shared" si="11"/>
        <v>0</v>
      </c>
      <c r="S18" s="98"/>
      <c r="T18" s="98"/>
      <c r="U18" s="29" t="s">
        <v>25</v>
      </c>
      <c r="V18" s="29" t="s">
        <v>52</v>
      </c>
      <c r="W18" s="29" t="s">
        <v>53</v>
      </c>
      <c r="X18" s="30" t="e">
        <f>X16-X17</f>
        <v>#REF!</v>
      </c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</row>
    <row r="19" spans="1:45" x14ac:dyDescent="0.3">
      <c r="A19" s="7">
        <f t="shared" si="2"/>
        <v>46</v>
      </c>
      <c r="B19" s="8">
        <f t="shared" si="9"/>
        <v>46337</v>
      </c>
      <c r="C19" s="9" t="str" cm="1">
        <f t="array" ref="C19">_xlfn.XLOOKUP(E19,Masterdata!$B$31:$B$44,Masterdata!$A$31:$A$44,_xlfn.SWITCH(WEEKDAY($D19, 2), 1, "mandag", 2, "tirsdag", 3, "onsdag", 4, "torsdag", 5, "fredag", 6, "lørdag", 7, "søndag"),0)</f>
        <v>onsdag</v>
      </c>
      <c r="D19" s="29">
        <f t="shared" si="0"/>
        <v>4</v>
      </c>
      <c r="E19" s="70">
        <f t="shared" si="3"/>
        <v>46337</v>
      </c>
      <c r="F19" s="10" t="s">
        <v>23</v>
      </c>
      <c r="G19" s="12">
        <f>IF(OR(AND(F19="N",NOT(OR(C19="mandag",C19="tirsdag",C19="onsdag",C19="torsdag",C19="fredag"))),F19="F"),0,
        IF(OR(
            AND(Masterdata!$B$4&lt;&gt;DATE(1900,1,0), Masterdata!$B$4&lt;$E19),
            AND(Masterdata!$B$3&lt;&gt;DATE(1900,1,0), Masterdata!$B$3&gt;$E19)
        ),
        0, $X$7/(5-H19)))</f>
        <v>0.30833333333333335</v>
      </c>
      <c r="H19" s="86">
        <f>SUMPRODUCT(COUNTIFS(Oktober!$A$9:$A$39,$A19,Oktober!$D$9:$D$39,"&lt;7",Oktober!$F$9:$F$39,"F")+COUNTIFS($A$9:$A$38,$A19,$D$9:$D$38,"&lt;7",$F$9:$F$38,"F")+COUNTIFS(December!$A$9:$A$39,$A19,December!$D$9:$D$39,"&lt;7",December!$F$9:$F$39,"F"))</f>
        <v>0</v>
      </c>
      <c r="I19" s="11">
        <v>0</v>
      </c>
      <c r="J19" s="11">
        <v>0</v>
      </c>
      <c r="K19" s="11">
        <v>0</v>
      </c>
      <c r="L19" s="26" t="str">
        <f t="shared" si="12"/>
        <v>07:24</v>
      </c>
      <c r="M19" s="26" t="str">
        <f>IF(OR(F19="N",F19="F"),"0:00",
IF(
OR(
AND(Masterdata!$B$4&lt;&gt;DATE(1900,1,0),Masterdata!$B$4&lt;$E19),
AND(Masterdata!$B$3&lt;&gt;DATE(1900,1,0),Masterdata!$B$3&gt;$E19)
),"0:00",
IF(
$I19&gt;TIME(0,0,0),
IF(
NOT(OR($C19="mandag",$C19="tirsdag",$C19="onsdag",$C19="torsdag",$C19="fredag")),
TEXT($I19,"[tt]:mm"),
IF($I19-$G19&gt;=0,TEXT($I19-$G19,"[tt]:mm"),"-"&amp;TEXT(ABS($I19-$G19),"[tt]:mm"))
),
IF(
NOT(OR($C19="mandag",$C19="tirsdag",$C19="onsdag",$C19="torsdag",$C19="fredag")),
IF($K19-$J19&gt;=0,TEXT($K19-$J19,"[tt]:mm"),"-"&amp;TEXT(ABS($K19-$J19),"[tt]:mm")),
IF(
$K19-$J19-$G19&gt;=0,
TEXT($K19-$J19-$G19,"[tt]:mm"),
"-"&amp;TEXT(ABS($K19-$J19-$G19),"[tt]:mm")
)
)
)
))</f>
        <v>0:00</v>
      </c>
      <c r="N19" s="71" t="str">
        <f t="shared" si="4"/>
        <v>0</v>
      </c>
      <c r="O19" s="25" t="str">
        <f t="shared" si="5"/>
        <v>0:</v>
      </c>
      <c r="P19" s="52" t="str">
        <f t="shared" si="6"/>
        <v>0</v>
      </c>
      <c r="Q19" s="53">
        <f t="shared" si="10"/>
        <v>0</v>
      </c>
      <c r="R19" s="30">
        <f t="shared" si="11"/>
        <v>0</v>
      </c>
      <c r="S19" s="98"/>
      <c r="T19" s="98"/>
      <c r="U19" s="29"/>
      <c r="V19" s="29"/>
      <c r="W19" s="70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</row>
    <row r="20" spans="1:45" x14ac:dyDescent="0.3">
      <c r="A20" s="7">
        <f t="shared" si="2"/>
        <v>46</v>
      </c>
      <c r="B20" s="8">
        <f t="shared" si="9"/>
        <v>46338</v>
      </c>
      <c r="C20" s="9" t="str" cm="1">
        <f t="array" ref="C20">_xlfn.XLOOKUP(E20,Masterdata!$B$31:$B$44,Masterdata!$A$31:$A$44,_xlfn.SWITCH(WEEKDAY($D20, 2), 1, "mandag", 2, "tirsdag", 3, "onsdag", 4, "torsdag", 5, "fredag", 6, "lørdag", 7, "søndag"),0)</f>
        <v>torsdag</v>
      </c>
      <c r="D20" s="29">
        <f t="shared" si="0"/>
        <v>5</v>
      </c>
      <c r="E20" s="70">
        <f t="shared" si="3"/>
        <v>46338</v>
      </c>
      <c r="F20" s="10" t="s">
        <v>23</v>
      </c>
      <c r="G20" s="12">
        <f>IF(OR(AND(F20="N",NOT(OR(C20="mandag",C20="tirsdag",C20="onsdag",C20="torsdag",C20="fredag"))),F20="F"),0,
        IF(OR(
            AND(Masterdata!$B$4&lt;&gt;DATE(1900,1,0), Masterdata!$B$4&lt;$E20),
            AND(Masterdata!$B$3&lt;&gt;DATE(1900,1,0), Masterdata!$B$3&gt;$E20)
        ),
        0, $X$7/(5-H20)))</f>
        <v>0.30833333333333335</v>
      </c>
      <c r="H20" s="86">
        <f>SUMPRODUCT(COUNTIFS(Oktober!$A$9:$A$39,$A20,Oktober!$D$9:$D$39,"&lt;7",Oktober!$F$9:$F$39,"F")+COUNTIFS($A$9:$A$38,$A20,$D$9:$D$38,"&lt;7",$F$9:$F$38,"F")+COUNTIFS(December!$A$9:$A$39,$A20,December!$D$9:$D$39,"&lt;7",December!$F$9:$F$39,"F"))</f>
        <v>0</v>
      </c>
      <c r="I20" s="11">
        <v>0</v>
      </c>
      <c r="J20" s="11">
        <v>0</v>
      </c>
      <c r="K20" s="11">
        <v>0</v>
      </c>
      <c r="L20" s="26" t="str">
        <f t="shared" si="12"/>
        <v>07:24</v>
      </c>
      <c r="M20" s="26" t="str">
        <f>IF(OR(F20="N",F20="F"),"0:00",
IF(
OR(
AND(Masterdata!$B$4&lt;&gt;DATE(1900,1,0),Masterdata!$B$4&lt;$E20),
AND(Masterdata!$B$3&lt;&gt;DATE(1900,1,0),Masterdata!$B$3&gt;$E20)
),"0:00",
IF(
$I20&gt;TIME(0,0,0),
IF(
NOT(OR($C20="mandag",$C20="tirsdag",$C20="onsdag",$C20="torsdag",$C20="fredag")),
TEXT($I20,"[tt]:mm"),
IF($I20-$G20&gt;=0,TEXT($I20-$G20,"[tt]:mm"),"-"&amp;TEXT(ABS($I20-$G20),"[tt]:mm"))
),
IF(
NOT(OR($C20="mandag",$C20="tirsdag",$C20="onsdag",$C20="torsdag",$C20="fredag")),
IF($K20-$J20&gt;=0,TEXT($K20-$J20,"[tt]:mm"),"-"&amp;TEXT(ABS($K20-$J20),"[tt]:mm")),
IF(
$K20-$J20-$G20&gt;=0,
TEXT($K20-$J20-$G20,"[tt]:mm"),
"-"&amp;TEXT(ABS($K20-$J20-$G20),"[tt]:mm")
)
)
)
))</f>
        <v>0:00</v>
      </c>
      <c r="N20" s="71" t="str">
        <f t="shared" si="4"/>
        <v>0</v>
      </c>
      <c r="O20" s="25" t="str">
        <f t="shared" si="5"/>
        <v>0:</v>
      </c>
      <c r="P20" s="52" t="str">
        <f t="shared" si="6"/>
        <v>0</v>
      </c>
      <c r="Q20" s="53">
        <f t="shared" si="10"/>
        <v>0</v>
      </c>
      <c r="R20" s="30">
        <f t="shared" si="11"/>
        <v>0</v>
      </c>
      <c r="S20" s="98"/>
      <c r="T20" s="98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</row>
    <row r="21" spans="1:45" x14ac:dyDescent="0.3">
      <c r="A21" s="7">
        <f t="shared" si="2"/>
        <v>46</v>
      </c>
      <c r="B21" s="8">
        <f t="shared" si="9"/>
        <v>46339</v>
      </c>
      <c r="C21" s="9" t="str" cm="1">
        <f t="array" ref="C21">_xlfn.XLOOKUP(E21,Masterdata!$B$31:$B$44,Masterdata!$A$31:$A$44,_xlfn.SWITCH(WEEKDAY($D21, 2), 1, "mandag", 2, "tirsdag", 3, "onsdag", 4, "torsdag", 5, "fredag", 6, "lørdag", 7, "søndag"),0)</f>
        <v>fredag</v>
      </c>
      <c r="D21" s="29">
        <f t="shared" si="0"/>
        <v>6</v>
      </c>
      <c r="E21" s="70">
        <f t="shared" si="3"/>
        <v>46339</v>
      </c>
      <c r="F21" s="10" t="s">
        <v>23</v>
      </c>
      <c r="G21" s="12">
        <f>IF(OR(AND(F21="N",NOT(OR(C21="mandag",C21="tirsdag",C21="onsdag",C21="torsdag",C21="fredag"))),F21="F"),0,
        IF(OR(
            AND(Masterdata!$B$4&lt;&gt;DATE(1900,1,0), Masterdata!$B$4&lt;$E21),
            AND(Masterdata!$B$3&lt;&gt;DATE(1900,1,0), Masterdata!$B$3&gt;$E21)
        ),
        0, $X$7/(5-H21)))</f>
        <v>0.30833333333333335</v>
      </c>
      <c r="H21" s="86">
        <f>SUMPRODUCT(COUNTIFS(Oktober!$A$9:$A$39,$A21,Oktober!$D$9:$D$39,"&lt;7",Oktober!$F$9:$F$39,"F")+COUNTIFS($A$9:$A$38,$A21,$D$9:$D$38,"&lt;7",$F$9:$F$38,"F")+COUNTIFS(December!$A$9:$A$39,$A21,December!$D$9:$D$39,"&lt;7",December!$F$9:$F$39,"F"))</f>
        <v>0</v>
      </c>
      <c r="I21" s="11">
        <v>0</v>
      </c>
      <c r="J21" s="11">
        <v>0</v>
      </c>
      <c r="K21" s="11">
        <v>0</v>
      </c>
      <c r="L21" s="26" t="str">
        <f t="shared" si="12"/>
        <v>07:24</v>
      </c>
      <c r="M21" s="26" t="str">
        <f>IF(OR(F21="N",F21="F"),"0:00",
IF(
OR(
AND(Masterdata!$B$4&lt;&gt;DATE(1900,1,0),Masterdata!$B$4&lt;$E21),
AND(Masterdata!$B$3&lt;&gt;DATE(1900,1,0),Masterdata!$B$3&gt;$E21)
),"0:00",
IF(
$I21&gt;TIME(0,0,0),
IF(
NOT(OR($C21="mandag",$C21="tirsdag",$C21="onsdag",$C21="torsdag",$C21="fredag")),
TEXT($I21,"[tt]:mm"),
IF($I21-$G21&gt;=0,TEXT($I21-$G21,"[tt]:mm"),"-"&amp;TEXT(ABS($I21-$G21),"[tt]:mm"))
),
IF(
NOT(OR($C21="mandag",$C21="tirsdag",$C21="onsdag",$C21="torsdag",$C21="fredag")),
IF($K21-$J21&gt;=0,TEXT($K21-$J21,"[tt]:mm"),"-"&amp;TEXT(ABS($K21-$J21),"[tt]:mm")),
IF(
$K21-$J21-$G21&gt;=0,
TEXT($K21-$J21-$G21,"[tt]:mm"),
"-"&amp;TEXT(ABS($K21-$J21-$G21),"[tt]:mm")
)
)
)
))</f>
        <v>0:00</v>
      </c>
      <c r="N21" s="71" t="str">
        <f>LEFT(M21,1)</f>
        <v>0</v>
      </c>
      <c r="O21" s="25" t="str">
        <f t="shared" si="5"/>
        <v>0:</v>
      </c>
      <c r="P21" s="52" t="str">
        <f t="shared" si="6"/>
        <v>0</v>
      </c>
      <c r="Q21" s="53">
        <f t="shared" si="10"/>
        <v>0</v>
      </c>
      <c r="R21" s="30">
        <f>IF(N21="-",O21-Q21,O21+Q21)</f>
        <v>0</v>
      </c>
      <c r="S21" s="98"/>
      <c r="T21" s="98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</row>
    <row r="22" spans="1:45" x14ac:dyDescent="0.3">
      <c r="A22" s="7">
        <f t="shared" si="2"/>
        <v>46</v>
      </c>
      <c r="B22" s="8">
        <f t="shared" si="9"/>
        <v>46340</v>
      </c>
      <c r="C22" s="9" t="str" cm="1">
        <f t="array" ref="C22">_xlfn.XLOOKUP(E22,Masterdata!$B$31:$B$44,Masterdata!$A$31:$A$44,_xlfn.SWITCH(WEEKDAY($D22, 2), 1, "mandag", 2, "tirsdag", 3, "onsdag", 4, "torsdag", 5, "fredag", 6, "lørdag", 7, "søndag"),0)</f>
        <v>lørdag</v>
      </c>
      <c r="D22" s="29">
        <f t="shared" si="0"/>
        <v>7</v>
      </c>
      <c r="E22" s="70">
        <f t="shared" si="3"/>
        <v>46340</v>
      </c>
      <c r="F22" s="10" t="s">
        <v>23</v>
      </c>
      <c r="G22" s="12">
        <f>IF(OR(AND(F22="N",NOT(OR(C22="mandag",C22="tirsdag",C22="onsdag",C22="torsdag",C22="fredag"))),F22="F"),0,
        IF(OR(
            AND(Masterdata!$B$4&lt;&gt;DATE(1900,1,0), Masterdata!$B$4&lt;$E22),
            AND(Masterdata!$B$3&lt;&gt;DATE(1900,1,0), Masterdata!$B$3&gt;$E22)
        ),
        0, $X$7/(5-H22)))</f>
        <v>0</v>
      </c>
      <c r="H22" s="86">
        <f>SUMPRODUCT(COUNTIFS(Oktober!$A$9:$A$39,$A22,Oktober!$D$9:$D$39,"&lt;7",Oktober!$F$9:$F$39,"F")+COUNTIFS($A$9:$A$38,$A22,$D$9:$D$38,"&lt;7",$F$9:$F$38,"F")+COUNTIFS(December!$A$9:$A$39,$A22,December!$D$9:$D$39,"&lt;7",December!$F$9:$F$39,"F"))</f>
        <v>0</v>
      </c>
      <c r="I22" s="11">
        <v>0</v>
      </c>
      <c r="J22" s="11">
        <v>0</v>
      </c>
      <c r="K22" s="11">
        <v>0</v>
      </c>
      <c r="L22" s="26" t="str">
        <f t="shared" si="12"/>
        <v>00:00</v>
      </c>
      <c r="M22" s="26" t="str">
        <f>IF(OR(F22="N",F22="F"),"0:00",
IF(
OR(
AND(Masterdata!$B$4&lt;&gt;DATE(1900,1,0),Masterdata!$B$4&lt;$E22),
AND(Masterdata!$B$3&lt;&gt;DATE(1900,1,0),Masterdata!$B$3&gt;$E22)
),"0:00",
IF(
$I22&gt;TIME(0,0,0),
IF(
NOT(OR($C22="mandag",$C22="tirsdag",$C22="onsdag",$C22="torsdag",$C22="fredag")),
TEXT($I22,"[tt]:mm"),
IF($I22-$G22&gt;=0,TEXT($I22-$G22,"[tt]:mm"),"-"&amp;TEXT(ABS($I22-$G22),"[tt]:mm"))
),
IF(
NOT(OR($C22="mandag",$C22="tirsdag",$C22="onsdag",$C22="torsdag",$C22="fredag")),
IF($K22-$J22&gt;=0,TEXT($K22-$J22,"[tt]:mm"),"-"&amp;TEXT(ABS($K22-$J22),"[tt]:mm")),
IF(
$K22-$J22-$G22&gt;=0,
TEXT($K22-$J22-$G22,"[tt]:mm"),
"-"&amp;TEXT(ABS($K22-$J22-$G22),"[tt]:mm")
)
)
)
))</f>
        <v>0:00</v>
      </c>
      <c r="N22" s="71" t="str">
        <f t="shared" ref="N22:N38" si="13">LEFT(M22,1)</f>
        <v>0</v>
      </c>
      <c r="O22" s="25" t="str">
        <f t="shared" si="5"/>
        <v>0:</v>
      </c>
      <c r="P22" s="52" t="str">
        <f t="shared" si="6"/>
        <v>0</v>
      </c>
      <c r="Q22" s="53">
        <f t="shared" si="10"/>
        <v>0</v>
      </c>
      <c r="R22" s="30">
        <f t="shared" ref="R22:R38" si="14">IF(N22="-",O22-Q22,O22+Q22)</f>
        <v>0</v>
      </c>
      <c r="S22" s="98"/>
      <c r="T22" s="98"/>
      <c r="U22" s="29"/>
      <c r="V22" s="29"/>
      <c r="W22" s="29" t="s">
        <v>124</v>
      </c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</row>
    <row r="23" spans="1:45" x14ac:dyDescent="0.3">
      <c r="A23" s="7">
        <f t="shared" si="2"/>
        <v>46</v>
      </c>
      <c r="B23" s="8">
        <f t="shared" si="9"/>
        <v>46341</v>
      </c>
      <c r="C23" s="9" t="str" cm="1">
        <f t="array" ref="C23">_xlfn.XLOOKUP(E23,Masterdata!$B$31:$B$44,Masterdata!$A$31:$A$44,_xlfn.SWITCH(WEEKDAY($D23, 2), 1, "mandag", 2, "tirsdag", 3, "onsdag", 4, "torsdag", 5, "fredag", 6, "lørdag", 7, "søndag"),0)</f>
        <v>søndag</v>
      </c>
      <c r="D23" s="29">
        <f t="shared" si="0"/>
        <v>8</v>
      </c>
      <c r="E23" s="70">
        <f t="shared" si="3"/>
        <v>46341</v>
      </c>
      <c r="F23" s="10" t="s">
        <v>23</v>
      </c>
      <c r="G23" s="12">
        <f>IF(OR(AND(F23="N",NOT(OR(C23="mandag",C23="tirsdag",C23="onsdag",C23="torsdag",C23="fredag"))),F23="F"),0,
        IF(OR(
            AND(Masterdata!$B$4&lt;&gt;DATE(1900,1,0), Masterdata!$B$4&lt;$E23),
            AND(Masterdata!$B$3&lt;&gt;DATE(1900,1,0), Masterdata!$B$3&gt;$E23)
        ),
        0, $X$7/(5-H23)))</f>
        <v>0</v>
      </c>
      <c r="H23" s="86">
        <f>SUMPRODUCT(COUNTIFS(Oktober!$A$9:$A$39,$A23,Oktober!$D$9:$D$39,"&lt;7",Oktober!$F$9:$F$39,"F")+COUNTIFS($A$9:$A$38,$A23,$D$9:$D$38,"&lt;7",$F$9:$F$38,"F")+COUNTIFS(December!$A$9:$A$39,$A23,December!$D$9:$D$39,"&lt;7",December!$F$9:$F$39,"F"))</f>
        <v>0</v>
      </c>
      <c r="I23" s="11">
        <v>0</v>
      </c>
      <c r="J23" s="11">
        <v>0</v>
      </c>
      <c r="K23" s="11">
        <v>0</v>
      </c>
      <c r="L23" s="26" t="str">
        <f t="shared" si="12"/>
        <v>00:00</v>
      </c>
      <c r="M23" s="26" t="str">
        <f>IF(OR(F23="N",F23="F"),"0:00",
IF(
OR(
AND(Masterdata!$B$4&lt;&gt;DATE(1900,1,0),Masterdata!$B$4&lt;$E23),
AND(Masterdata!$B$3&lt;&gt;DATE(1900,1,0),Masterdata!$B$3&gt;$E23)
),"0:00",
IF(
$I23&gt;TIME(0,0,0),
IF(
NOT(OR($C23="mandag",$C23="tirsdag",$C23="onsdag",$C23="torsdag",$C23="fredag")),
TEXT($I23,"[tt]:mm"),
IF($I23-$G23&gt;=0,TEXT($I23-$G23,"[tt]:mm"),"-"&amp;TEXT(ABS($I23-$G23),"[tt]:mm"))
),
IF(
NOT(OR($C23="mandag",$C23="tirsdag",$C23="onsdag",$C23="torsdag",$C23="fredag")),
IF($K23-$J23&gt;=0,TEXT($K23-$J23,"[tt]:mm"),"-"&amp;TEXT(ABS($K23-$J23),"[tt]:mm")),
IF(
$K23-$J23-$G23&gt;=0,
TEXT($K23-$J23-$G23,"[tt]:mm"),
"-"&amp;TEXT(ABS($K23-$J23-$G23),"[tt]:mm")
)
)
)
))</f>
        <v>0:00</v>
      </c>
      <c r="N23" s="71" t="str">
        <f t="shared" si="13"/>
        <v>0</v>
      </c>
      <c r="O23" s="25" t="str">
        <f t="shared" si="5"/>
        <v>0:</v>
      </c>
      <c r="P23" s="52" t="str">
        <f t="shared" si="6"/>
        <v>0</v>
      </c>
      <c r="Q23" s="53">
        <f t="shared" si="10"/>
        <v>0</v>
      </c>
      <c r="R23" s="30">
        <f t="shared" si="14"/>
        <v>0</v>
      </c>
      <c r="S23" s="98"/>
      <c r="T23" s="98"/>
      <c r="U23" s="29"/>
      <c r="V23" s="29"/>
      <c r="W23" s="29" t="s">
        <v>125</v>
      </c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</row>
    <row r="24" spans="1:45" x14ac:dyDescent="0.3">
      <c r="A24" s="7">
        <f t="shared" si="2"/>
        <v>47</v>
      </c>
      <c r="B24" s="8">
        <f t="shared" si="9"/>
        <v>46342</v>
      </c>
      <c r="C24" s="9" t="str" cm="1">
        <f t="array" ref="C24">_xlfn.XLOOKUP(E24,Masterdata!$B$31:$B$44,Masterdata!$A$31:$A$44,_xlfn.SWITCH(WEEKDAY($D24, 2), 1, "mandag", 2, "tirsdag", 3, "onsdag", 4, "torsdag", 5, "fredag", 6, "lørdag", 7, "søndag"),0)</f>
        <v>mandag</v>
      </c>
      <c r="D24" s="29">
        <f t="shared" si="0"/>
        <v>2</v>
      </c>
      <c r="E24" s="70">
        <f t="shared" si="3"/>
        <v>46342</v>
      </c>
      <c r="F24" s="10" t="s">
        <v>23</v>
      </c>
      <c r="G24" s="12">
        <f>IF(OR(AND(F24="N",NOT(OR(C24="mandag",C24="tirsdag",C24="onsdag",C24="torsdag",C24="fredag"))),F24="F"),0,
        IF(OR(
            AND(Masterdata!$B$4&lt;&gt;DATE(1900,1,0), Masterdata!$B$4&lt;$E24),
            AND(Masterdata!$B$3&lt;&gt;DATE(1900,1,0), Masterdata!$B$3&gt;$E24)
        ),
        0, $X$7/(5-H24)))</f>
        <v>0.30833333333333335</v>
      </c>
      <c r="H24" s="86">
        <f>SUMPRODUCT(COUNTIFS(Oktober!$A$9:$A$39,$A24,Oktober!$D$9:$D$39,"&lt;7",Oktober!$F$9:$F$39,"F")+COUNTIFS($A$9:$A$38,$A24,$D$9:$D$38,"&lt;7",$F$9:$F$38,"F")+COUNTIFS(December!$A$9:$A$39,$A24,December!$D$9:$D$39,"&lt;7",December!$F$9:$F$39,"F"))</f>
        <v>0</v>
      </c>
      <c r="I24" s="11">
        <v>0</v>
      </c>
      <c r="J24" s="11">
        <v>0</v>
      </c>
      <c r="K24" s="11">
        <v>0</v>
      </c>
      <c r="L24" s="26" t="str">
        <f t="shared" si="12"/>
        <v>07:24</v>
      </c>
      <c r="M24" s="26" t="str">
        <f>IF(OR(F24="N",F24="F"),"0:00",
IF(
OR(
AND(Masterdata!$B$4&lt;&gt;DATE(1900,1,0),Masterdata!$B$4&lt;$E24),
AND(Masterdata!$B$3&lt;&gt;DATE(1900,1,0),Masterdata!$B$3&gt;$E24)
),"0:00",
IF(
$I24&gt;TIME(0,0,0),
IF(
NOT(OR($C24="mandag",$C24="tirsdag",$C24="onsdag",$C24="torsdag",$C24="fredag")),
TEXT($I24,"[tt]:mm"),
IF($I24-$G24&gt;=0,TEXT($I24-$G24,"[tt]:mm"),"-"&amp;TEXT(ABS($I24-$G24),"[tt]:mm"))
),
IF(
NOT(OR($C24="mandag",$C24="tirsdag",$C24="onsdag",$C24="torsdag",$C24="fredag")),
IF($K24-$J24&gt;=0,TEXT($K24-$J24,"[tt]:mm"),"-"&amp;TEXT(ABS($K24-$J24),"[tt]:mm")),
IF(
$K24-$J24-$G24&gt;=0,
TEXT($K24-$J24-$G24,"[tt]:mm"),
"-"&amp;TEXT(ABS($K24-$J24-$G24),"[tt]:mm")
)
)
)
))</f>
        <v>0:00</v>
      </c>
      <c r="N24" s="71" t="str">
        <f t="shared" si="13"/>
        <v>0</v>
      </c>
      <c r="O24" s="25" t="str">
        <f t="shared" si="5"/>
        <v>0:</v>
      </c>
      <c r="P24" s="52" t="str">
        <f t="shared" si="6"/>
        <v>0</v>
      </c>
      <c r="Q24" s="53">
        <f t="shared" si="10"/>
        <v>0</v>
      </c>
      <c r="R24" s="30">
        <f t="shared" si="14"/>
        <v>0</v>
      </c>
      <c r="S24" s="98"/>
      <c r="T24" s="98"/>
      <c r="U24" s="29"/>
      <c r="V24" s="29"/>
      <c r="W24" s="29" t="s">
        <v>126</v>
      </c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</row>
    <row r="25" spans="1:45" x14ac:dyDescent="0.3">
      <c r="A25" s="7">
        <f t="shared" si="2"/>
        <v>47</v>
      </c>
      <c r="B25" s="8">
        <f t="shared" si="9"/>
        <v>46343</v>
      </c>
      <c r="C25" s="9" t="str" cm="1">
        <f t="array" ref="C25">_xlfn.XLOOKUP(E25,Masterdata!$B$31:$B$44,Masterdata!$A$31:$A$44,_xlfn.SWITCH(WEEKDAY($D25, 2), 1, "mandag", 2, "tirsdag", 3, "onsdag", 4, "torsdag", 5, "fredag", 6, "lørdag", 7, "søndag"),0)</f>
        <v>tirsdag</v>
      </c>
      <c r="D25" s="29">
        <f t="shared" si="0"/>
        <v>3</v>
      </c>
      <c r="E25" s="70">
        <f t="shared" si="3"/>
        <v>46343</v>
      </c>
      <c r="F25" s="10" t="s">
        <v>23</v>
      </c>
      <c r="G25" s="12">
        <f>IF(OR(AND(F25="N",NOT(OR(C25="mandag",C25="tirsdag",C25="onsdag",C25="torsdag",C25="fredag"))),F25="F"),0,
        IF(OR(
            AND(Masterdata!$B$4&lt;&gt;DATE(1900,1,0), Masterdata!$B$4&lt;$E25),
            AND(Masterdata!$B$3&lt;&gt;DATE(1900,1,0), Masterdata!$B$3&gt;$E25)
        ),
        0, $X$7/(5-H25)))</f>
        <v>0.30833333333333335</v>
      </c>
      <c r="H25" s="86">
        <f>SUMPRODUCT(COUNTIFS(Oktober!$A$9:$A$39,$A25,Oktober!$D$9:$D$39,"&lt;7",Oktober!$F$9:$F$39,"F")+COUNTIFS($A$9:$A$38,$A25,$D$9:$D$38,"&lt;7",$F$9:$F$38,"F")+COUNTIFS(December!$A$9:$A$39,$A25,December!$D$9:$D$39,"&lt;7",December!$F$9:$F$39,"F"))</f>
        <v>0</v>
      </c>
      <c r="I25" s="11">
        <v>0</v>
      </c>
      <c r="J25" s="11">
        <v>0</v>
      </c>
      <c r="K25" s="11">
        <v>0</v>
      </c>
      <c r="L25" s="26" t="str">
        <f t="shared" si="12"/>
        <v>07:24</v>
      </c>
      <c r="M25" s="26" t="str">
        <f>IF(OR(F25="N",F25="F"),"0:00",
IF(
OR(
AND(Masterdata!$B$4&lt;&gt;DATE(1900,1,0),Masterdata!$B$4&lt;$E25),
AND(Masterdata!$B$3&lt;&gt;DATE(1900,1,0),Masterdata!$B$3&gt;$E25)
),"0:00",
IF(
$I25&gt;TIME(0,0,0),
IF(
NOT(OR($C25="mandag",$C25="tirsdag",$C25="onsdag",$C25="torsdag",$C25="fredag")),
TEXT($I25,"[tt]:mm"),
IF($I25-$G25&gt;=0,TEXT($I25-$G25,"[tt]:mm"),"-"&amp;TEXT(ABS($I25-$G25),"[tt]:mm"))
),
IF(
NOT(OR($C25="mandag",$C25="tirsdag",$C25="onsdag",$C25="torsdag",$C25="fredag")),
IF($K25-$J25&gt;=0,TEXT($K25-$J25,"[tt]:mm"),"-"&amp;TEXT(ABS($K25-$J25),"[tt]:mm")),
IF(
$K25-$J25-$G25&gt;=0,
TEXT($K25-$J25-$G25,"[tt]:mm"),
"-"&amp;TEXT(ABS($K25-$J25-$G25),"[tt]:mm")
)
)
)
))</f>
        <v>0:00</v>
      </c>
      <c r="N25" s="71" t="str">
        <f t="shared" si="13"/>
        <v>0</v>
      </c>
      <c r="O25" s="25" t="str">
        <f t="shared" si="5"/>
        <v>0:</v>
      </c>
      <c r="P25" s="52" t="str">
        <f t="shared" si="6"/>
        <v>0</v>
      </c>
      <c r="Q25" s="53">
        <f t="shared" si="10"/>
        <v>0</v>
      </c>
      <c r="R25" s="30">
        <f t="shared" si="14"/>
        <v>0</v>
      </c>
      <c r="S25" s="98"/>
      <c r="T25" s="98"/>
      <c r="U25" s="29"/>
      <c r="V25" s="29"/>
      <c r="W25" s="29" t="s">
        <v>127</v>
      </c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</row>
    <row r="26" spans="1:45" x14ac:dyDescent="0.3">
      <c r="A26" s="7">
        <f t="shared" si="2"/>
        <v>47</v>
      </c>
      <c r="B26" s="8">
        <f t="shared" si="9"/>
        <v>46344</v>
      </c>
      <c r="C26" s="9" t="str" cm="1">
        <f t="array" ref="C26">_xlfn.XLOOKUP(E26,Masterdata!$B$31:$B$44,Masterdata!$A$31:$A$44,_xlfn.SWITCH(WEEKDAY($D26, 2), 1, "mandag", 2, "tirsdag", 3, "onsdag", 4, "torsdag", 5, "fredag", 6, "lørdag", 7, "søndag"),0)</f>
        <v>onsdag</v>
      </c>
      <c r="D26" s="29">
        <f t="shared" si="0"/>
        <v>4</v>
      </c>
      <c r="E26" s="70">
        <f t="shared" si="3"/>
        <v>46344</v>
      </c>
      <c r="F26" s="10" t="s">
        <v>23</v>
      </c>
      <c r="G26" s="12">
        <f>IF(OR(AND(F26="N",NOT(OR(C26="mandag",C26="tirsdag",C26="onsdag",C26="torsdag",C26="fredag"))),F26="F"),0,
        IF(OR(
            AND(Masterdata!$B$4&lt;&gt;DATE(1900,1,0), Masterdata!$B$4&lt;$E26),
            AND(Masterdata!$B$3&lt;&gt;DATE(1900,1,0), Masterdata!$B$3&gt;$E26)
        ),
        0, $X$7/(5-H26)))</f>
        <v>0.30833333333333335</v>
      </c>
      <c r="H26" s="86">
        <f>SUMPRODUCT(COUNTIFS(Oktober!$A$9:$A$39,$A26,Oktober!$D$9:$D$39,"&lt;7",Oktober!$F$9:$F$39,"F")+COUNTIFS($A$9:$A$38,$A26,$D$9:$D$38,"&lt;7",$F$9:$F$38,"F")+COUNTIFS(December!$A$9:$A$39,$A26,December!$D$9:$D$39,"&lt;7",December!$F$9:$F$39,"F"))</f>
        <v>0</v>
      </c>
      <c r="I26" s="11">
        <v>0</v>
      </c>
      <c r="J26" s="11">
        <v>0</v>
      </c>
      <c r="K26" s="11">
        <v>0</v>
      </c>
      <c r="L26" s="26" t="str">
        <f t="shared" si="12"/>
        <v>07:24</v>
      </c>
      <c r="M26" s="26" t="str">
        <f>IF(OR(F26="N",F26="F"),"0:00",
IF(
OR(
AND(Masterdata!$B$4&lt;&gt;DATE(1900,1,0),Masterdata!$B$4&lt;$E26),
AND(Masterdata!$B$3&lt;&gt;DATE(1900,1,0),Masterdata!$B$3&gt;$E26)
),"0:00",
IF(
$I26&gt;TIME(0,0,0),
IF(
NOT(OR($C26="mandag",$C26="tirsdag",$C26="onsdag",$C26="torsdag",$C26="fredag")),
TEXT($I26,"[tt]:mm"),
IF($I26-$G26&gt;=0,TEXT($I26-$G26,"[tt]:mm"),"-"&amp;TEXT(ABS($I26-$G26),"[tt]:mm"))
),
IF(
NOT(OR($C26="mandag",$C26="tirsdag",$C26="onsdag",$C26="torsdag",$C26="fredag")),
IF($K26-$J26&gt;=0,TEXT($K26-$J26,"[tt]:mm"),"-"&amp;TEXT(ABS($K26-$J26),"[tt]:mm")),
IF(
$K26-$J26-$G26&gt;=0,
TEXT($K26-$J26-$G26,"[tt]:mm"),
"-"&amp;TEXT(ABS($K26-$J26-$G26),"[tt]:mm")
)
)
)
))</f>
        <v>0:00</v>
      </c>
      <c r="N26" s="71" t="str">
        <f t="shared" si="13"/>
        <v>0</v>
      </c>
      <c r="O26" s="25" t="str">
        <f t="shared" si="5"/>
        <v>0:</v>
      </c>
      <c r="P26" s="52" t="str">
        <f t="shared" si="6"/>
        <v>0</v>
      </c>
      <c r="Q26" s="53">
        <f t="shared" si="10"/>
        <v>0</v>
      </c>
      <c r="R26" s="30">
        <f t="shared" si="14"/>
        <v>0</v>
      </c>
      <c r="S26" s="98"/>
      <c r="T26" s="98"/>
      <c r="U26" s="29"/>
      <c r="V26" s="29"/>
      <c r="W26" s="29" t="s">
        <v>128</v>
      </c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</row>
    <row r="27" spans="1:45" x14ac:dyDescent="0.3">
      <c r="A27" s="7">
        <f t="shared" si="2"/>
        <v>47</v>
      </c>
      <c r="B27" s="8">
        <f t="shared" si="9"/>
        <v>46345</v>
      </c>
      <c r="C27" s="9" t="str" cm="1">
        <f t="array" ref="C27">_xlfn.XLOOKUP(E27,Masterdata!$B$31:$B$44,Masterdata!$A$31:$A$44,_xlfn.SWITCH(WEEKDAY($D27, 2), 1, "mandag", 2, "tirsdag", 3, "onsdag", 4, "torsdag", 5, "fredag", 6, "lørdag", 7, "søndag"),0)</f>
        <v>torsdag</v>
      </c>
      <c r="D27" s="29">
        <f t="shared" si="0"/>
        <v>5</v>
      </c>
      <c r="E27" s="70">
        <f t="shared" si="3"/>
        <v>46345</v>
      </c>
      <c r="F27" s="10" t="s">
        <v>23</v>
      </c>
      <c r="G27" s="12">
        <f>IF(OR(AND(F27="N",NOT(OR(C27="mandag",C27="tirsdag",C27="onsdag",C27="torsdag",C27="fredag"))),F27="F"),0,
        IF(OR(
            AND(Masterdata!$B$4&lt;&gt;DATE(1900,1,0), Masterdata!$B$4&lt;$E27),
            AND(Masterdata!$B$3&lt;&gt;DATE(1900,1,0), Masterdata!$B$3&gt;$E27)
        ),
        0, $X$7/(5-H27)))</f>
        <v>0.30833333333333335</v>
      </c>
      <c r="H27" s="86">
        <f>SUMPRODUCT(COUNTIFS(Oktober!$A$9:$A$39,$A27,Oktober!$D$9:$D$39,"&lt;7",Oktober!$F$9:$F$39,"F")+COUNTIFS($A$9:$A$38,$A27,$D$9:$D$38,"&lt;7",$F$9:$F$38,"F")+COUNTIFS(December!$A$9:$A$39,$A27,December!$D$9:$D$39,"&lt;7",December!$F$9:$F$39,"F"))</f>
        <v>0</v>
      </c>
      <c r="I27" s="11">
        <v>0</v>
      </c>
      <c r="J27" s="11">
        <v>0</v>
      </c>
      <c r="K27" s="11">
        <v>0</v>
      </c>
      <c r="L27" s="26" t="str">
        <f t="shared" si="12"/>
        <v>07:24</v>
      </c>
      <c r="M27" s="26" t="str">
        <f>IF(OR(F27="N",F27="F"),"0:00",
IF(
OR(
AND(Masterdata!$B$4&lt;&gt;DATE(1900,1,0),Masterdata!$B$4&lt;$E27),
AND(Masterdata!$B$3&lt;&gt;DATE(1900,1,0),Masterdata!$B$3&gt;$E27)
),"0:00",
IF(
$I27&gt;TIME(0,0,0),
IF(
NOT(OR($C27="mandag",$C27="tirsdag",$C27="onsdag",$C27="torsdag",$C27="fredag")),
TEXT($I27,"[tt]:mm"),
IF($I27-$G27&gt;=0,TEXT($I27-$G27,"[tt]:mm"),"-"&amp;TEXT(ABS($I27-$G27),"[tt]:mm"))
),
IF(
NOT(OR($C27="mandag",$C27="tirsdag",$C27="onsdag",$C27="torsdag",$C27="fredag")),
IF($K27-$J27&gt;=0,TEXT($K27-$J27,"[tt]:mm"),"-"&amp;TEXT(ABS($K27-$J27),"[tt]:mm")),
IF(
$K27-$J27-$G27&gt;=0,
TEXT($K27-$J27-$G27,"[tt]:mm"),
"-"&amp;TEXT(ABS($K27-$J27-$G27),"[tt]:mm")
)
)
)
))</f>
        <v>0:00</v>
      </c>
      <c r="N27" s="71" t="str">
        <f t="shared" si="13"/>
        <v>0</v>
      </c>
      <c r="O27" s="25" t="str">
        <f t="shared" si="5"/>
        <v>0:</v>
      </c>
      <c r="P27" s="52" t="str">
        <f t="shared" si="6"/>
        <v>0</v>
      </c>
      <c r="Q27" s="53">
        <f t="shared" si="10"/>
        <v>0</v>
      </c>
      <c r="R27" s="30">
        <f t="shared" si="14"/>
        <v>0</v>
      </c>
      <c r="S27" s="98"/>
      <c r="T27" s="98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</row>
    <row r="28" spans="1:45" x14ac:dyDescent="0.3">
      <c r="A28" s="7">
        <f t="shared" si="2"/>
        <v>47</v>
      </c>
      <c r="B28" s="8">
        <f t="shared" si="9"/>
        <v>46346</v>
      </c>
      <c r="C28" s="9" t="str" cm="1">
        <f t="array" ref="C28">_xlfn.XLOOKUP(E28,Masterdata!$B$31:$B$44,Masterdata!$A$31:$A$44,_xlfn.SWITCH(WEEKDAY($D28, 2), 1, "mandag", 2, "tirsdag", 3, "onsdag", 4, "torsdag", 5, "fredag", 6, "lørdag", 7, "søndag"),0)</f>
        <v>fredag</v>
      </c>
      <c r="D28" s="29">
        <f t="shared" si="0"/>
        <v>6</v>
      </c>
      <c r="E28" s="70">
        <f t="shared" si="3"/>
        <v>46346</v>
      </c>
      <c r="F28" s="10" t="s">
        <v>23</v>
      </c>
      <c r="G28" s="12">
        <f>IF(OR(AND(F28="N",NOT(OR(C28="mandag",C28="tirsdag",C28="onsdag",C28="torsdag",C28="fredag"))),F28="F"),0,
        IF(OR(
            AND(Masterdata!$B$4&lt;&gt;DATE(1900,1,0), Masterdata!$B$4&lt;$E28),
            AND(Masterdata!$B$3&lt;&gt;DATE(1900,1,0), Masterdata!$B$3&gt;$E28)
        ),
        0, $X$7/(5-H28)))</f>
        <v>0.30833333333333335</v>
      </c>
      <c r="H28" s="86">
        <f>SUMPRODUCT(COUNTIFS(Oktober!$A$9:$A$39,$A28,Oktober!$D$9:$D$39,"&lt;7",Oktober!$F$9:$F$39,"F")+COUNTIFS($A$9:$A$38,$A28,$D$9:$D$38,"&lt;7",$F$9:$F$38,"F")+COUNTIFS(December!$A$9:$A$39,$A28,December!$D$9:$D$39,"&lt;7",December!$F$9:$F$39,"F"))</f>
        <v>0</v>
      </c>
      <c r="I28" s="11">
        <v>0</v>
      </c>
      <c r="J28" s="11">
        <v>0</v>
      </c>
      <c r="K28" s="11">
        <v>0</v>
      </c>
      <c r="L28" s="26" t="str">
        <f t="shared" si="12"/>
        <v>07:24</v>
      </c>
      <c r="M28" s="26" t="str">
        <f>IF(OR(F28="N",F28="F"),"0:00",
IF(
OR(
AND(Masterdata!$B$4&lt;&gt;DATE(1900,1,0),Masterdata!$B$4&lt;$E28),
AND(Masterdata!$B$3&lt;&gt;DATE(1900,1,0),Masterdata!$B$3&gt;$E28)
),"0:00",
IF(
$I28&gt;TIME(0,0,0),
IF(
NOT(OR($C28="mandag",$C28="tirsdag",$C28="onsdag",$C28="torsdag",$C28="fredag")),
TEXT($I28,"[tt]:mm"),
IF($I28-$G28&gt;=0,TEXT($I28-$G28,"[tt]:mm"),"-"&amp;TEXT(ABS($I28-$G28),"[tt]:mm"))
),
IF(
NOT(OR($C28="mandag",$C28="tirsdag",$C28="onsdag",$C28="torsdag",$C28="fredag")),
IF($K28-$J28&gt;=0,TEXT($K28-$J28,"[tt]:mm"),"-"&amp;TEXT(ABS($K28-$J28),"[tt]:mm")),
IF(
$K28-$J28-$G28&gt;=0,
TEXT($K28-$J28-$G28,"[tt]:mm"),
"-"&amp;TEXT(ABS($K28-$J28-$G28),"[tt]:mm")
)
)
)
))</f>
        <v>0:00</v>
      </c>
      <c r="N28" s="71" t="str">
        <f t="shared" si="13"/>
        <v>0</v>
      </c>
      <c r="O28" s="25" t="str">
        <f t="shared" si="5"/>
        <v>0:</v>
      </c>
      <c r="P28" s="52" t="str">
        <f t="shared" si="6"/>
        <v>0</v>
      </c>
      <c r="Q28" s="53">
        <f t="shared" si="10"/>
        <v>0</v>
      </c>
      <c r="R28" s="30">
        <f t="shared" si="14"/>
        <v>0</v>
      </c>
      <c r="S28" s="98"/>
      <c r="T28" s="98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</row>
    <row r="29" spans="1:45" x14ac:dyDescent="0.3">
      <c r="A29" s="7">
        <f t="shared" si="2"/>
        <v>47</v>
      </c>
      <c r="B29" s="8">
        <f t="shared" si="9"/>
        <v>46347</v>
      </c>
      <c r="C29" s="9" t="str" cm="1">
        <f t="array" ref="C29">_xlfn.XLOOKUP(E29,Masterdata!$B$31:$B$44,Masterdata!$A$31:$A$44,_xlfn.SWITCH(WEEKDAY($D29, 2), 1, "mandag", 2, "tirsdag", 3, "onsdag", 4, "torsdag", 5, "fredag", 6, "lørdag", 7, "søndag"),0)</f>
        <v>lørdag</v>
      </c>
      <c r="D29" s="29">
        <f t="shared" si="0"/>
        <v>7</v>
      </c>
      <c r="E29" s="70">
        <f t="shared" si="3"/>
        <v>46347</v>
      </c>
      <c r="F29" s="10" t="s">
        <v>23</v>
      </c>
      <c r="G29" s="12">
        <f>IF(OR(AND(F29="N",NOT(OR(C29="mandag",C29="tirsdag",C29="onsdag",C29="torsdag",C29="fredag"))),F29="F"),0,
        IF(OR(
            AND(Masterdata!$B$4&lt;&gt;DATE(1900,1,0), Masterdata!$B$4&lt;$E29),
            AND(Masterdata!$B$3&lt;&gt;DATE(1900,1,0), Masterdata!$B$3&gt;$E29)
        ),
        0, $X$7/(5-H29)))</f>
        <v>0</v>
      </c>
      <c r="H29" s="86">
        <f>SUMPRODUCT(COUNTIFS(Oktober!$A$9:$A$39,$A29,Oktober!$D$9:$D$39,"&lt;7",Oktober!$F$9:$F$39,"F")+COUNTIFS($A$9:$A$38,$A29,$D$9:$D$38,"&lt;7",$F$9:$F$38,"F")+COUNTIFS(December!$A$9:$A$39,$A29,December!$D$9:$D$39,"&lt;7",December!$F$9:$F$39,"F"))</f>
        <v>0</v>
      </c>
      <c r="I29" s="11">
        <v>0</v>
      </c>
      <c r="J29" s="11">
        <v>0</v>
      </c>
      <c r="K29" s="11">
        <v>0</v>
      </c>
      <c r="L29" s="26" t="str">
        <f t="shared" si="12"/>
        <v>00:00</v>
      </c>
      <c r="M29" s="26" t="str">
        <f>IF(OR(F29="N",F29="F"),"0:00",
IF(
OR(
AND(Masterdata!$B$4&lt;&gt;DATE(1900,1,0),Masterdata!$B$4&lt;$E29),
AND(Masterdata!$B$3&lt;&gt;DATE(1900,1,0),Masterdata!$B$3&gt;$E29)
),"0:00",
IF(
$I29&gt;TIME(0,0,0),
IF(
NOT(OR($C29="mandag",$C29="tirsdag",$C29="onsdag",$C29="torsdag",$C29="fredag")),
TEXT($I29,"[tt]:mm"),
IF($I29-$G29&gt;=0,TEXT($I29-$G29,"[tt]:mm"),"-"&amp;TEXT(ABS($I29-$G29),"[tt]:mm"))
),
IF(
NOT(OR($C29="mandag",$C29="tirsdag",$C29="onsdag",$C29="torsdag",$C29="fredag")),
IF($K29-$J29&gt;=0,TEXT($K29-$J29,"[tt]:mm"),"-"&amp;TEXT(ABS($K29-$J29),"[tt]:mm")),
IF(
$K29-$J29-$G29&gt;=0,
TEXT($K29-$J29-$G29,"[tt]:mm"),
"-"&amp;TEXT(ABS($K29-$J29-$G29),"[tt]:mm")
)
)
)
))</f>
        <v>0:00</v>
      </c>
      <c r="N29" s="71" t="str">
        <f t="shared" si="13"/>
        <v>0</v>
      </c>
      <c r="O29" s="25" t="str">
        <f t="shared" si="5"/>
        <v>0:</v>
      </c>
      <c r="P29" s="52" t="str">
        <f t="shared" si="6"/>
        <v>0</v>
      </c>
      <c r="Q29" s="53">
        <f t="shared" si="10"/>
        <v>0</v>
      </c>
      <c r="R29" s="30">
        <f t="shared" si="14"/>
        <v>0</v>
      </c>
      <c r="S29" s="98"/>
      <c r="T29" s="98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</row>
    <row r="30" spans="1:45" x14ac:dyDescent="0.3">
      <c r="A30" s="7">
        <f t="shared" si="2"/>
        <v>47</v>
      </c>
      <c r="B30" s="8">
        <f t="shared" si="9"/>
        <v>46348</v>
      </c>
      <c r="C30" s="9" t="str" cm="1">
        <f t="array" ref="C30">_xlfn.XLOOKUP(E30,Masterdata!$B$31:$B$44,Masterdata!$A$31:$A$44,_xlfn.SWITCH(WEEKDAY($D30, 2), 1, "mandag", 2, "tirsdag", 3, "onsdag", 4, "torsdag", 5, "fredag", 6, "lørdag", 7, "søndag"),0)</f>
        <v>søndag</v>
      </c>
      <c r="D30" s="29">
        <f t="shared" si="0"/>
        <v>8</v>
      </c>
      <c r="E30" s="70">
        <f t="shared" si="3"/>
        <v>46348</v>
      </c>
      <c r="F30" s="10" t="s">
        <v>23</v>
      </c>
      <c r="G30" s="12">
        <f>IF(OR(AND(F30="N",NOT(OR(C30="mandag",C30="tirsdag",C30="onsdag",C30="torsdag",C30="fredag"))),F30="F"),0,
        IF(OR(
            AND(Masterdata!$B$4&lt;&gt;DATE(1900,1,0), Masterdata!$B$4&lt;$E30),
            AND(Masterdata!$B$3&lt;&gt;DATE(1900,1,0), Masterdata!$B$3&gt;$E30)
        ),
        0, $X$7/(5-H30)))</f>
        <v>0</v>
      </c>
      <c r="H30" s="86">
        <f>SUMPRODUCT(COUNTIFS(Oktober!$A$9:$A$39,$A30,Oktober!$D$9:$D$39,"&lt;7",Oktober!$F$9:$F$39,"F")+COUNTIFS($A$9:$A$38,$A30,$D$9:$D$38,"&lt;7",$F$9:$F$38,"F")+COUNTIFS(December!$A$9:$A$39,$A30,December!$D$9:$D$39,"&lt;7",December!$F$9:$F$39,"F"))</f>
        <v>0</v>
      </c>
      <c r="I30" s="11">
        <v>0</v>
      </c>
      <c r="J30" s="11">
        <v>0</v>
      </c>
      <c r="K30" s="11">
        <v>0</v>
      </c>
      <c r="L30" s="26" t="str">
        <f t="shared" si="12"/>
        <v>00:00</v>
      </c>
      <c r="M30" s="26" t="str">
        <f>IF(OR(F30="N",F30="F"),"0:00",
IF(
OR(
AND(Masterdata!$B$4&lt;&gt;DATE(1900,1,0),Masterdata!$B$4&lt;$E30),
AND(Masterdata!$B$3&lt;&gt;DATE(1900,1,0),Masterdata!$B$3&gt;$E30)
),"0:00",
IF(
$I30&gt;TIME(0,0,0),
IF(
NOT(OR($C30="mandag",$C30="tirsdag",$C30="onsdag",$C30="torsdag",$C30="fredag")),
TEXT($I30,"[tt]:mm"),
IF($I30-$G30&gt;=0,TEXT($I30-$G30,"[tt]:mm"),"-"&amp;TEXT(ABS($I30-$G30),"[tt]:mm"))
),
IF(
NOT(OR($C30="mandag",$C30="tirsdag",$C30="onsdag",$C30="torsdag",$C30="fredag")),
IF($K30-$J30&gt;=0,TEXT($K30-$J30,"[tt]:mm"),"-"&amp;TEXT(ABS($K30-$J30),"[tt]:mm")),
IF(
$K30-$J30-$G30&gt;=0,
TEXT($K30-$J30-$G30,"[tt]:mm"),
"-"&amp;TEXT(ABS($K30-$J30-$G30),"[tt]:mm")
)
)
)
))</f>
        <v>0:00</v>
      </c>
      <c r="N30" s="71" t="str">
        <f t="shared" si="13"/>
        <v>0</v>
      </c>
      <c r="O30" s="25" t="str">
        <f t="shared" si="5"/>
        <v>0:</v>
      </c>
      <c r="P30" s="52" t="str">
        <f t="shared" si="6"/>
        <v>0</v>
      </c>
      <c r="Q30" s="53">
        <f t="shared" si="10"/>
        <v>0</v>
      </c>
      <c r="R30" s="30">
        <f t="shared" si="14"/>
        <v>0</v>
      </c>
      <c r="S30" s="98"/>
      <c r="T30" s="98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</row>
    <row r="31" spans="1:45" x14ac:dyDescent="0.3">
      <c r="A31" s="7">
        <f t="shared" si="2"/>
        <v>48</v>
      </c>
      <c r="B31" s="8">
        <f t="shared" si="9"/>
        <v>46349</v>
      </c>
      <c r="C31" s="9" t="str" cm="1">
        <f t="array" ref="C31">_xlfn.XLOOKUP(E31,Masterdata!$B$31:$B$44,Masterdata!$A$31:$A$44,_xlfn.SWITCH(WEEKDAY($D31, 2), 1, "mandag", 2, "tirsdag", 3, "onsdag", 4, "torsdag", 5, "fredag", 6, "lørdag", 7, "søndag"),0)</f>
        <v>mandag</v>
      </c>
      <c r="D31" s="29">
        <f t="shared" si="0"/>
        <v>2</v>
      </c>
      <c r="E31" s="70">
        <f t="shared" si="3"/>
        <v>46349</v>
      </c>
      <c r="F31" s="10" t="s">
        <v>23</v>
      </c>
      <c r="G31" s="12">
        <f>IF(OR(AND(F31="N",NOT(OR(C31="mandag",C31="tirsdag",C31="onsdag",C31="torsdag",C31="fredag"))),F31="F"),0,
        IF(OR(
            AND(Masterdata!$B$4&lt;&gt;DATE(1900,1,0), Masterdata!$B$4&lt;$E31),
            AND(Masterdata!$B$3&lt;&gt;DATE(1900,1,0), Masterdata!$B$3&gt;$E31)
        ),
        0, $X$7/(5-H31)))</f>
        <v>0.30833333333333335</v>
      </c>
      <c r="H31" s="86">
        <f>SUMPRODUCT(COUNTIFS(Oktober!$A$9:$A$39,$A31,Oktober!$D$9:$D$39,"&lt;7",Oktober!$F$9:$F$39,"F")+COUNTIFS($A$9:$A$38,$A31,$D$9:$D$38,"&lt;7",$F$9:$F$38,"F")+COUNTIFS(December!$A$9:$A$39,$A31,December!$D$9:$D$39,"&lt;7",December!$F$9:$F$39,"F"))</f>
        <v>0</v>
      </c>
      <c r="I31" s="11">
        <v>0</v>
      </c>
      <c r="J31" s="11">
        <v>0</v>
      </c>
      <c r="K31" s="11">
        <v>0</v>
      </c>
      <c r="L31" s="26" t="str">
        <f t="shared" si="12"/>
        <v>07:24</v>
      </c>
      <c r="M31" s="26" t="str">
        <f>IF(OR(F31="N",F31="F"),"0:00",
IF(
OR(
AND(Masterdata!$B$4&lt;&gt;DATE(1900,1,0),Masterdata!$B$4&lt;$E31),
AND(Masterdata!$B$3&lt;&gt;DATE(1900,1,0),Masterdata!$B$3&gt;$E31)
),"0:00",
IF(
$I31&gt;TIME(0,0,0),
IF(
NOT(OR($C31="mandag",$C31="tirsdag",$C31="onsdag",$C31="torsdag",$C31="fredag")),
TEXT($I31,"[tt]:mm"),
IF($I31-$G31&gt;=0,TEXT($I31-$G31,"[tt]:mm"),"-"&amp;TEXT(ABS($I31-$G31),"[tt]:mm"))
),
IF(
NOT(OR($C31="mandag",$C31="tirsdag",$C31="onsdag",$C31="torsdag",$C31="fredag")),
IF($K31-$J31&gt;=0,TEXT($K31-$J31,"[tt]:mm"),"-"&amp;TEXT(ABS($K31-$J31),"[tt]:mm")),
IF(
$K31-$J31-$G31&gt;=0,
TEXT($K31-$J31-$G31,"[tt]:mm"),
"-"&amp;TEXT(ABS($K31-$J31-$G31),"[tt]:mm")
)
)
)
))</f>
        <v>0:00</v>
      </c>
      <c r="N31" s="71" t="str">
        <f t="shared" si="13"/>
        <v>0</v>
      </c>
      <c r="O31" s="25" t="str">
        <f t="shared" si="5"/>
        <v>0:</v>
      </c>
      <c r="P31" s="52" t="str">
        <f t="shared" si="6"/>
        <v>0</v>
      </c>
      <c r="Q31" s="53">
        <f t="shared" si="10"/>
        <v>0</v>
      </c>
      <c r="R31" s="30">
        <f t="shared" si="14"/>
        <v>0</v>
      </c>
      <c r="S31" s="98"/>
      <c r="T31" s="98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</row>
    <row r="32" spans="1:45" x14ac:dyDescent="0.3">
      <c r="A32" s="7">
        <f t="shared" si="2"/>
        <v>48</v>
      </c>
      <c r="B32" s="8">
        <f t="shared" si="9"/>
        <v>46350</v>
      </c>
      <c r="C32" s="9" t="str" cm="1">
        <f t="array" ref="C32">_xlfn.XLOOKUP(E32,Masterdata!$B$31:$B$44,Masterdata!$A$31:$A$44,_xlfn.SWITCH(WEEKDAY($D32, 2), 1, "mandag", 2, "tirsdag", 3, "onsdag", 4, "torsdag", 5, "fredag", 6, "lørdag", 7, "søndag"),0)</f>
        <v>tirsdag</v>
      </c>
      <c r="D32" s="29">
        <f t="shared" si="0"/>
        <v>3</v>
      </c>
      <c r="E32" s="70">
        <f t="shared" si="3"/>
        <v>46350</v>
      </c>
      <c r="F32" s="10" t="s">
        <v>23</v>
      </c>
      <c r="G32" s="12">
        <f>IF(OR(AND(F32="N",NOT(OR(C32="mandag",C32="tirsdag",C32="onsdag",C32="torsdag",C32="fredag"))),F32="F"),0,
        IF(OR(
            AND(Masterdata!$B$4&lt;&gt;DATE(1900,1,0), Masterdata!$B$4&lt;$E32),
            AND(Masterdata!$B$3&lt;&gt;DATE(1900,1,0), Masterdata!$B$3&gt;$E32)
        ),
        0, $X$7/(5-H32)))</f>
        <v>0.30833333333333335</v>
      </c>
      <c r="H32" s="86">
        <f>SUMPRODUCT(COUNTIFS(Oktober!$A$9:$A$39,$A32,Oktober!$D$9:$D$39,"&lt;7",Oktober!$F$9:$F$39,"F")+COUNTIFS($A$9:$A$38,$A32,$D$9:$D$38,"&lt;7",$F$9:$F$38,"F")+COUNTIFS(December!$A$9:$A$39,$A32,December!$D$9:$D$39,"&lt;7",December!$F$9:$F$39,"F"))</f>
        <v>0</v>
      </c>
      <c r="I32" s="11">
        <v>0</v>
      </c>
      <c r="J32" s="11">
        <v>0</v>
      </c>
      <c r="K32" s="11">
        <v>0</v>
      </c>
      <c r="L32" s="26" t="str">
        <f t="shared" si="12"/>
        <v>07:24</v>
      </c>
      <c r="M32" s="26" t="str">
        <f>IF(OR(F32="N",F32="F"),"0:00",
IF(
OR(
AND(Masterdata!$B$4&lt;&gt;DATE(1900,1,0),Masterdata!$B$4&lt;$E32),
AND(Masterdata!$B$3&lt;&gt;DATE(1900,1,0),Masterdata!$B$3&gt;$E32)
),"0:00",
IF(
$I32&gt;TIME(0,0,0),
IF(
NOT(OR($C32="mandag",$C32="tirsdag",$C32="onsdag",$C32="torsdag",$C32="fredag")),
TEXT($I32,"[tt]:mm"),
IF($I32-$G32&gt;=0,TEXT($I32-$G32,"[tt]:mm"),"-"&amp;TEXT(ABS($I32-$G32),"[tt]:mm"))
),
IF(
NOT(OR($C32="mandag",$C32="tirsdag",$C32="onsdag",$C32="torsdag",$C32="fredag")),
IF($K32-$J32&gt;=0,TEXT($K32-$J32,"[tt]:mm"),"-"&amp;TEXT(ABS($K32-$J32),"[tt]:mm")),
IF(
$K32-$J32-$G32&gt;=0,
TEXT($K32-$J32-$G32,"[tt]:mm"),
"-"&amp;TEXT(ABS($K32-$J32-$G32),"[tt]:mm")
)
)
)
))</f>
        <v>0:00</v>
      </c>
      <c r="N32" s="71" t="str">
        <f t="shared" si="13"/>
        <v>0</v>
      </c>
      <c r="O32" s="25" t="str">
        <f t="shared" si="5"/>
        <v>0:</v>
      </c>
      <c r="P32" s="52" t="str">
        <f t="shared" si="6"/>
        <v>0</v>
      </c>
      <c r="Q32" s="53">
        <f t="shared" si="10"/>
        <v>0</v>
      </c>
      <c r="R32" s="30">
        <f t="shared" si="14"/>
        <v>0</v>
      </c>
      <c r="S32" s="98"/>
      <c r="T32" s="98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</row>
    <row r="33" spans="1:45" x14ac:dyDescent="0.3">
      <c r="A33" s="7">
        <f t="shared" si="2"/>
        <v>48</v>
      </c>
      <c r="B33" s="8">
        <f t="shared" si="9"/>
        <v>46351</v>
      </c>
      <c r="C33" s="9" t="str" cm="1">
        <f t="array" ref="C33">_xlfn.XLOOKUP(E33,Masterdata!$B$31:$B$44,Masterdata!$A$31:$A$44,_xlfn.SWITCH(WEEKDAY($D33, 2), 1, "mandag", 2, "tirsdag", 3, "onsdag", 4, "torsdag", 5, "fredag", 6, "lørdag", 7, "søndag"),0)</f>
        <v>onsdag</v>
      </c>
      <c r="D33" s="29">
        <f t="shared" si="0"/>
        <v>4</v>
      </c>
      <c r="E33" s="70">
        <f t="shared" si="3"/>
        <v>46351</v>
      </c>
      <c r="F33" s="10" t="s">
        <v>23</v>
      </c>
      <c r="G33" s="12">
        <f>IF(OR(AND(F33="N",NOT(OR(C33="mandag",C33="tirsdag",C33="onsdag",C33="torsdag",C33="fredag"))),F33="F"),0,
        IF(OR(
            AND(Masterdata!$B$4&lt;&gt;DATE(1900,1,0), Masterdata!$B$4&lt;$E33),
            AND(Masterdata!$B$3&lt;&gt;DATE(1900,1,0), Masterdata!$B$3&gt;$E33)
        ),
        0, $X$7/(5-H33)))</f>
        <v>0.30833333333333335</v>
      </c>
      <c r="H33" s="86">
        <f>SUMPRODUCT(COUNTIFS(Oktober!$A$9:$A$39,$A33,Oktober!$D$9:$D$39,"&lt;7",Oktober!$F$9:$F$39,"F")+COUNTIFS($A$9:$A$38,$A33,$D$9:$D$38,"&lt;7",$F$9:$F$38,"F")+COUNTIFS(December!$A$9:$A$39,$A33,December!$D$9:$D$39,"&lt;7",December!$F$9:$F$39,"F"))</f>
        <v>0</v>
      </c>
      <c r="I33" s="11">
        <v>0</v>
      </c>
      <c r="J33" s="11">
        <v>0</v>
      </c>
      <c r="K33" s="11">
        <v>0</v>
      </c>
      <c r="L33" s="26" t="str">
        <f t="shared" si="12"/>
        <v>07:24</v>
      </c>
      <c r="M33" s="26" t="str">
        <f>IF(OR(F33="N",F33="F"),"0:00",
IF(
OR(
AND(Masterdata!$B$4&lt;&gt;DATE(1900,1,0),Masterdata!$B$4&lt;$E33),
AND(Masterdata!$B$3&lt;&gt;DATE(1900,1,0),Masterdata!$B$3&gt;$E33)
),"0:00",
IF(
$I33&gt;TIME(0,0,0),
IF(
NOT(OR($C33="mandag",$C33="tirsdag",$C33="onsdag",$C33="torsdag",$C33="fredag")),
TEXT($I33,"[tt]:mm"),
IF($I33-$G33&gt;=0,TEXT($I33-$G33,"[tt]:mm"),"-"&amp;TEXT(ABS($I33-$G33),"[tt]:mm"))
),
IF(
NOT(OR($C33="mandag",$C33="tirsdag",$C33="onsdag",$C33="torsdag",$C33="fredag")),
IF($K33-$J33&gt;=0,TEXT($K33-$J33,"[tt]:mm"),"-"&amp;TEXT(ABS($K33-$J33),"[tt]:mm")),
IF(
$K33-$J33-$G33&gt;=0,
TEXT($K33-$J33-$G33,"[tt]:mm"),
"-"&amp;TEXT(ABS($K33-$J33-$G33),"[tt]:mm")
)
)
)
))</f>
        <v>0:00</v>
      </c>
      <c r="N33" s="71" t="str">
        <f t="shared" si="13"/>
        <v>0</v>
      </c>
      <c r="O33" s="25" t="str">
        <f t="shared" si="5"/>
        <v>0:</v>
      </c>
      <c r="P33" s="52" t="str">
        <f t="shared" si="6"/>
        <v>0</v>
      </c>
      <c r="Q33" s="53">
        <f t="shared" si="10"/>
        <v>0</v>
      </c>
      <c r="R33" s="30">
        <f t="shared" si="14"/>
        <v>0</v>
      </c>
      <c r="S33" s="98"/>
      <c r="T33" s="98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</row>
    <row r="34" spans="1:45" x14ac:dyDescent="0.3">
      <c r="A34" s="7">
        <f t="shared" si="2"/>
        <v>48</v>
      </c>
      <c r="B34" s="8">
        <f t="shared" si="9"/>
        <v>46352</v>
      </c>
      <c r="C34" s="9" t="str" cm="1">
        <f t="array" ref="C34">_xlfn.XLOOKUP(E34,Masterdata!$B$31:$B$44,Masterdata!$A$31:$A$44,_xlfn.SWITCH(WEEKDAY($D34, 2), 1, "mandag", 2, "tirsdag", 3, "onsdag", 4, "torsdag", 5, "fredag", 6, "lørdag", 7, "søndag"),0)</f>
        <v>torsdag</v>
      </c>
      <c r="D34" s="29">
        <f t="shared" si="0"/>
        <v>5</v>
      </c>
      <c r="E34" s="70">
        <f t="shared" si="3"/>
        <v>46352</v>
      </c>
      <c r="F34" s="10" t="s">
        <v>23</v>
      </c>
      <c r="G34" s="12">
        <f>IF(OR(AND(F34="N",NOT(OR(C34="mandag",C34="tirsdag",C34="onsdag",C34="torsdag",C34="fredag"))),F34="F"),0,
        IF(OR(
            AND(Masterdata!$B$4&lt;&gt;DATE(1900,1,0), Masterdata!$B$4&lt;$E34),
            AND(Masterdata!$B$3&lt;&gt;DATE(1900,1,0), Masterdata!$B$3&gt;$E34)
        ),
        0, $X$7/(5-H34)))</f>
        <v>0.30833333333333335</v>
      </c>
      <c r="H34" s="86">
        <f>SUMPRODUCT(COUNTIFS(Oktober!$A$9:$A$39,$A34,Oktober!$D$9:$D$39,"&lt;7",Oktober!$F$9:$F$39,"F")+COUNTIFS($A$9:$A$38,$A34,$D$9:$D$38,"&lt;7",$F$9:$F$38,"F")+COUNTIFS(December!$A$9:$A$39,$A34,December!$D$9:$D$39,"&lt;7",December!$F$9:$F$39,"F"))</f>
        <v>0</v>
      </c>
      <c r="I34" s="11">
        <v>0</v>
      </c>
      <c r="J34" s="11">
        <v>0</v>
      </c>
      <c r="K34" s="11">
        <v>0</v>
      </c>
      <c r="L34" s="26" t="str">
        <f t="shared" si="12"/>
        <v>07:24</v>
      </c>
      <c r="M34" s="26" t="str">
        <f>IF(OR(F34="N",F34="F"),"0:00",
IF(
OR(
AND(Masterdata!$B$4&lt;&gt;DATE(1900,1,0),Masterdata!$B$4&lt;$E34),
AND(Masterdata!$B$3&lt;&gt;DATE(1900,1,0),Masterdata!$B$3&gt;$E34)
),"0:00",
IF(
$I34&gt;TIME(0,0,0),
IF(
NOT(OR($C34="mandag",$C34="tirsdag",$C34="onsdag",$C34="torsdag",$C34="fredag")),
TEXT($I34,"[tt]:mm"),
IF($I34-$G34&gt;=0,TEXT($I34-$G34,"[tt]:mm"),"-"&amp;TEXT(ABS($I34-$G34),"[tt]:mm"))
),
IF(
NOT(OR($C34="mandag",$C34="tirsdag",$C34="onsdag",$C34="torsdag",$C34="fredag")),
IF($K34-$J34&gt;=0,TEXT($K34-$J34,"[tt]:mm"),"-"&amp;TEXT(ABS($K34-$J34),"[tt]:mm")),
IF(
$K34-$J34-$G34&gt;=0,
TEXT($K34-$J34-$G34,"[tt]:mm"),
"-"&amp;TEXT(ABS($K34-$J34-$G34),"[tt]:mm")
)
)
)
))</f>
        <v>0:00</v>
      </c>
      <c r="N34" s="71" t="str">
        <f t="shared" si="13"/>
        <v>0</v>
      </c>
      <c r="O34" s="25" t="str">
        <f t="shared" si="5"/>
        <v>0:</v>
      </c>
      <c r="P34" s="52" t="str">
        <f t="shared" si="6"/>
        <v>0</v>
      </c>
      <c r="Q34" s="53">
        <f t="shared" si="10"/>
        <v>0</v>
      </c>
      <c r="R34" s="30">
        <f t="shared" si="14"/>
        <v>0</v>
      </c>
      <c r="S34" s="98"/>
      <c r="T34" s="98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</row>
    <row r="35" spans="1:45" x14ac:dyDescent="0.3">
      <c r="A35" s="7">
        <f t="shared" si="2"/>
        <v>48</v>
      </c>
      <c r="B35" s="8">
        <f t="shared" si="9"/>
        <v>46353</v>
      </c>
      <c r="C35" s="9" t="str" cm="1">
        <f t="array" ref="C35">_xlfn.XLOOKUP(E35,Masterdata!$B$31:$B$44,Masterdata!$A$31:$A$44,_xlfn.SWITCH(WEEKDAY($D35, 2), 1, "mandag", 2, "tirsdag", 3, "onsdag", 4, "torsdag", 5, "fredag", 6, "lørdag", 7, "søndag"),0)</f>
        <v>fredag</v>
      </c>
      <c r="D35" s="29">
        <f t="shared" si="0"/>
        <v>6</v>
      </c>
      <c r="E35" s="70">
        <f t="shared" si="3"/>
        <v>46353</v>
      </c>
      <c r="F35" s="10" t="s">
        <v>23</v>
      </c>
      <c r="G35" s="12">
        <f>IF(OR(AND(F35="N",NOT(OR(C35="mandag",C35="tirsdag",C35="onsdag",C35="torsdag",C35="fredag"))),F35="F"),0,
        IF(OR(
            AND(Masterdata!$B$4&lt;&gt;DATE(1900,1,0), Masterdata!$B$4&lt;$E35),
            AND(Masterdata!$B$3&lt;&gt;DATE(1900,1,0), Masterdata!$B$3&gt;$E35)
        ),
        0, $X$7/(5-H35)))</f>
        <v>0.30833333333333335</v>
      </c>
      <c r="H35" s="86">
        <f>SUMPRODUCT(COUNTIFS(Oktober!$A$9:$A$39,$A35,Oktober!$D$9:$D$39,"&lt;7",Oktober!$F$9:$F$39,"F")+COUNTIFS($A$9:$A$38,$A35,$D$9:$D$38,"&lt;7",$F$9:$F$38,"F")+COUNTIFS(December!$A$9:$A$39,$A35,December!$D$9:$D$39,"&lt;7",December!$F$9:$F$39,"F"))</f>
        <v>0</v>
      </c>
      <c r="I35" s="11">
        <v>0</v>
      </c>
      <c r="J35" s="11">
        <v>0</v>
      </c>
      <c r="K35" s="11">
        <v>0</v>
      </c>
      <c r="L35" s="26" t="str">
        <f t="shared" si="12"/>
        <v>07:24</v>
      </c>
      <c r="M35" s="26" t="str">
        <f>IF(OR(F35="N",F35="F"),"0:00",
IF(
OR(
AND(Masterdata!$B$4&lt;&gt;DATE(1900,1,0),Masterdata!$B$4&lt;$E35),
AND(Masterdata!$B$3&lt;&gt;DATE(1900,1,0),Masterdata!$B$3&gt;$E35)
),"0:00",
IF(
$I35&gt;TIME(0,0,0),
IF(
NOT(OR($C35="mandag",$C35="tirsdag",$C35="onsdag",$C35="torsdag",$C35="fredag")),
TEXT($I35,"[tt]:mm"),
IF($I35-$G35&gt;=0,TEXT($I35-$G35,"[tt]:mm"),"-"&amp;TEXT(ABS($I35-$G35),"[tt]:mm"))
),
IF(
NOT(OR($C35="mandag",$C35="tirsdag",$C35="onsdag",$C35="torsdag",$C35="fredag")),
IF($K35-$J35&gt;=0,TEXT($K35-$J35,"[tt]:mm"),"-"&amp;TEXT(ABS($K35-$J35),"[tt]:mm")),
IF(
$K35-$J35-$G35&gt;=0,
TEXT($K35-$J35-$G35,"[tt]:mm"),
"-"&amp;TEXT(ABS($K35-$J35-$G35),"[tt]:mm")
)
)
)
))</f>
        <v>0:00</v>
      </c>
      <c r="N35" s="71" t="str">
        <f t="shared" si="13"/>
        <v>0</v>
      </c>
      <c r="O35" s="25" t="str">
        <f t="shared" si="5"/>
        <v>0:</v>
      </c>
      <c r="P35" s="52" t="str">
        <f t="shared" si="6"/>
        <v>0</v>
      </c>
      <c r="Q35" s="53">
        <f t="shared" si="10"/>
        <v>0</v>
      </c>
      <c r="R35" s="30">
        <f t="shared" si="14"/>
        <v>0</v>
      </c>
      <c r="S35" s="98"/>
      <c r="T35" s="98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</row>
    <row r="36" spans="1:45" x14ac:dyDescent="0.3">
      <c r="A36" s="7">
        <f t="shared" si="2"/>
        <v>48</v>
      </c>
      <c r="B36" s="8">
        <f t="shared" si="9"/>
        <v>46354</v>
      </c>
      <c r="C36" s="9" t="str" cm="1">
        <f t="array" ref="C36">_xlfn.XLOOKUP(E36,Masterdata!$B$31:$B$44,Masterdata!$A$31:$A$44,_xlfn.SWITCH(WEEKDAY($D36, 2), 1, "mandag", 2, "tirsdag", 3, "onsdag", 4, "torsdag", 5, "fredag", 6, "lørdag", 7, "søndag"),0)</f>
        <v>lørdag</v>
      </c>
      <c r="D36" s="29">
        <f t="shared" si="0"/>
        <v>7</v>
      </c>
      <c r="E36" s="70">
        <f t="shared" si="3"/>
        <v>46354</v>
      </c>
      <c r="F36" s="10" t="s">
        <v>23</v>
      </c>
      <c r="G36" s="12">
        <f>IF(OR(AND(F36="N",NOT(OR(C36="mandag",C36="tirsdag",C36="onsdag",C36="torsdag",C36="fredag"))),F36="F"),0,
        IF(OR(
            AND(Masterdata!$B$4&lt;&gt;DATE(1900,1,0), Masterdata!$B$4&lt;$E36),
            AND(Masterdata!$B$3&lt;&gt;DATE(1900,1,0), Masterdata!$B$3&gt;$E36)
        ),
        0, $X$7/(5-H36)))</f>
        <v>0</v>
      </c>
      <c r="H36" s="86">
        <f>SUMPRODUCT(COUNTIFS(Oktober!$A$9:$A$39,$A36,Oktober!$D$9:$D$39,"&lt;7",Oktober!$F$9:$F$39,"F")+COUNTIFS($A$9:$A$38,$A36,$D$9:$D$38,"&lt;7",$F$9:$F$38,"F")+COUNTIFS(December!$A$9:$A$39,$A36,December!$D$9:$D$39,"&lt;7",December!$F$9:$F$39,"F"))</f>
        <v>0</v>
      </c>
      <c r="I36" s="11">
        <v>0</v>
      </c>
      <c r="J36" s="11">
        <v>0</v>
      </c>
      <c r="K36" s="11">
        <v>0</v>
      </c>
      <c r="L36" s="26" t="str">
        <f t="shared" si="12"/>
        <v>00:00</v>
      </c>
      <c r="M36" s="26" t="str">
        <f>IF(OR(F36="N",F36="F"),"0:00",
IF(
OR(
AND(Masterdata!$B$4&lt;&gt;DATE(1900,1,0),Masterdata!$B$4&lt;$E36),
AND(Masterdata!$B$3&lt;&gt;DATE(1900,1,0),Masterdata!$B$3&gt;$E36)
),"0:00",
IF(
$I36&gt;TIME(0,0,0),
IF(
NOT(OR($C36="mandag",$C36="tirsdag",$C36="onsdag",$C36="torsdag",$C36="fredag")),
TEXT($I36,"[tt]:mm"),
IF($I36-$G36&gt;=0,TEXT($I36-$G36,"[tt]:mm"),"-"&amp;TEXT(ABS($I36-$G36),"[tt]:mm"))
),
IF(
NOT(OR($C36="mandag",$C36="tirsdag",$C36="onsdag",$C36="torsdag",$C36="fredag")),
IF($K36-$J36&gt;=0,TEXT($K36-$J36,"[tt]:mm"),"-"&amp;TEXT(ABS($K36-$J36),"[tt]:mm")),
IF(
$K36-$J36-$G36&gt;=0,
TEXT($K36-$J36-$G36,"[tt]:mm"),
"-"&amp;TEXT(ABS($K36-$J36-$G36),"[tt]:mm")
)
)
)
))</f>
        <v>0:00</v>
      </c>
      <c r="N36" s="71" t="str">
        <f t="shared" si="13"/>
        <v>0</v>
      </c>
      <c r="O36" s="25" t="str">
        <f t="shared" si="5"/>
        <v>0:</v>
      </c>
      <c r="P36" s="52" t="str">
        <f t="shared" si="6"/>
        <v>0</v>
      </c>
      <c r="Q36" s="53">
        <f t="shared" si="10"/>
        <v>0</v>
      </c>
      <c r="R36" s="30">
        <f t="shared" si="14"/>
        <v>0</v>
      </c>
      <c r="S36" s="98"/>
      <c r="T36" s="98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</row>
    <row r="37" spans="1:45" x14ac:dyDescent="0.3">
      <c r="A37" s="7">
        <f t="shared" si="2"/>
        <v>48</v>
      </c>
      <c r="B37" s="8">
        <f t="shared" si="9"/>
        <v>46355</v>
      </c>
      <c r="C37" s="9" t="str" cm="1">
        <f t="array" ref="C37">_xlfn.XLOOKUP(E37,Masterdata!$B$31:$B$44,Masterdata!$A$31:$A$44,_xlfn.SWITCH(WEEKDAY($D37, 2), 1, "mandag", 2, "tirsdag", 3, "onsdag", 4, "torsdag", 5, "fredag", 6, "lørdag", 7, "søndag"),0)</f>
        <v>søndag</v>
      </c>
      <c r="D37" s="29">
        <f t="shared" si="0"/>
        <v>8</v>
      </c>
      <c r="E37" s="70">
        <f t="shared" si="3"/>
        <v>46355</v>
      </c>
      <c r="F37" s="10" t="s">
        <v>23</v>
      </c>
      <c r="G37" s="12">
        <f>IF(OR(AND(F37="N",NOT(OR(C37="mandag",C37="tirsdag",C37="onsdag",C37="torsdag",C37="fredag"))),F37="F"),0,
        IF(OR(
            AND(Masterdata!$B$4&lt;&gt;DATE(1900,1,0), Masterdata!$B$4&lt;$E37),
            AND(Masterdata!$B$3&lt;&gt;DATE(1900,1,0), Masterdata!$B$3&gt;$E37)
        ),
        0, $X$7/(5-H37)))</f>
        <v>0</v>
      </c>
      <c r="H37" s="86">
        <f>SUMPRODUCT(COUNTIFS(Oktober!$A$9:$A$39,$A37,Oktober!$D$9:$D$39,"&lt;7",Oktober!$F$9:$F$39,"F")+COUNTIFS($A$9:$A$38,$A37,$D$9:$D$38,"&lt;7",$F$9:$F$38,"F")+COUNTIFS(December!$A$9:$A$39,$A37,December!$D$9:$D$39,"&lt;7",December!$F$9:$F$39,"F"))</f>
        <v>0</v>
      </c>
      <c r="I37" s="11">
        <v>0</v>
      </c>
      <c r="J37" s="11">
        <v>0</v>
      </c>
      <c r="K37" s="11">
        <v>0</v>
      </c>
      <c r="L37" s="26" t="str">
        <f t="shared" si="12"/>
        <v>00:00</v>
      </c>
      <c r="M37" s="26" t="str">
        <f>IF(OR(F37="N",F37="F"),"0:00",
IF(
OR(
AND(Masterdata!$B$4&lt;&gt;DATE(1900,1,0),Masterdata!$B$4&lt;$E37),
AND(Masterdata!$B$3&lt;&gt;DATE(1900,1,0),Masterdata!$B$3&gt;$E37)
),"0:00",
IF(
$I37&gt;TIME(0,0,0),
IF(
NOT(OR($C37="mandag",$C37="tirsdag",$C37="onsdag",$C37="torsdag",$C37="fredag")),
TEXT($I37,"[tt]:mm"),
IF($I37-$G37&gt;=0,TEXT($I37-$G37,"[tt]:mm"),"-"&amp;TEXT(ABS($I37-$G37),"[tt]:mm"))
),
IF(
NOT(OR($C37="mandag",$C37="tirsdag",$C37="onsdag",$C37="torsdag",$C37="fredag")),
IF($K37-$J37&gt;=0,TEXT($K37-$J37,"[tt]:mm"),"-"&amp;TEXT(ABS($K37-$J37),"[tt]:mm")),
IF(
$K37-$J37-$G37&gt;=0,
TEXT($K37-$J37-$G37,"[tt]:mm"),
"-"&amp;TEXT(ABS($K37-$J37-$G37),"[tt]:mm")
)
)
)
))</f>
        <v>0:00</v>
      </c>
      <c r="N37" s="71" t="str">
        <f t="shared" si="13"/>
        <v>0</v>
      </c>
      <c r="O37" s="25" t="str">
        <f t="shared" si="5"/>
        <v>0:</v>
      </c>
      <c r="P37" s="52" t="str">
        <f t="shared" si="6"/>
        <v>0</v>
      </c>
      <c r="Q37" s="53">
        <f t="shared" si="10"/>
        <v>0</v>
      </c>
      <c r="R37" s="30">
        <f t="shared" si="14"/>
        <v>0</v>
      </c>
      <c r="S37" s="98"/>
      <c r="T37" s="98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</row>
    <row r="38" spans="1:45" x14ac:dyDescent="0.3">
      <c r="A38" s="7">
        <f t="shared" si="2"/>
        <v>49</v>
      </c>
      <c r="B38" s="8">
        <f t="shared" si="9"/>
        <v>46356</v>
      </c>
      <c r="C38" s="9" t="str" cm="1">
        <f t="array" ref="C38">_xlfn.XLOOKUP(E38,Masterdata!$B$31:$B$44,Masterdata!$A$31:$A$44,_xlfn.SWITCH(WEEKDAY($D38, 2), 1, "mandag", 2, "tirsdag", 3, "onsdag", 4, "torsdag", 5, "fredag", 6, "lørdag", 7, "søndag"),0)</f>
        <v>mandag</v>
      </c>
      <c r="D38" s="29">
        <f t="shared" si="0"/>
        <v>2</v>
      </c>
      <c r="E38" s="70">
        <f t="shared" si="3"/>
        <v>46356</v>
      </c>
      <c r="F38" s="10" t="s">
        <v>23</v>
      </c>
      <c r="G38" s="12">
        <f>IF(OR(AND(F38="N",NOT(OR(C38="mandag",C38="tirsdag",C38="onsdag",C38="torsdag",C38="fredag"))),F38="F"),0,
        IF(OR(
            AND(Masterdata!$B$4&lt;&gt;DATE(1900,1,0), Masterdata!$B$4&lt;$E38),
            AND(Masterdata!$B$3&lt;&gt;DATE(1900,1,0), Masterdata!$B$3&gt;$E38)
        ),
        0, $X$7/(5-H38)))</f>
        <v>0.30833333333333335</v>
      </c>
      <c r="H38" s="86">
        <f>SUMPRODUCT(COUNTIFS(Oktober!$A$9:$A$39,$A38,Oktober!$D$9:$D$39,"&lt;7",Oktober!$F$9:$F$39,"F")+COUNTIFS($A$9:$A$38,$A38,$D$9:$D$38,"&lt;7",$F$9:$F$38,"F")+COUNTIFS(December!$A$9:$A$39,$A38,December!$D$9:$D$39,"&lt;7",December!$F$9:$F$39,"F"))</f>
        <v>0</v>
      </c>
      <c r="I38" s="11">
        <v>0</v>
      </c>
      <c r="J38" s="11">
        <v>0</v>
      </c>
      <c r="K38" s="11">
        <v>0</v>
      </c>
      <c r="L38" s="26" t="str">
        <f t="shared" si="12"/>
        <v>07:24</v>
      </c>
      <c r="M38" s="26" t="str">
        <f>IF(OR(F38="N",F38="F"),"0:00",
IF(
OR(
AND(Masterdata!$B$4&lt;&gt;DATE(1900,1,0),Masterdata!$B$4&lt;$E38),
AND(Masterdata!$B$3&lt;&gt;DATE(1900,1,0),Masterdata!$B$3&gt;$E38)
),"0:00",
IF(
$I38&gt;TIME(0,0,0),
IF(
NOT(OR($C38="mandag",$C38="tirsdag",$C38="onsdag",$C38="torsdag",$C38="fredag")),
TEXT($I38,"[tt]:mm"),
IF($I38-$G38&gt;=0,TEXT($I38-$G38,"[tt]:mm"),"-"&amp;TEXT(ABS($I38-$G38),"[tt]:mm"))
),
IF(
NOT(OR($C38="mandag",$C38="tirsdag",$C38="onsdag",$C38="torsdag",$C38="fredag")),
IF($K38-$J38&gt;=0,TEXT($K38-$J38,"[tt]:mm"),"-"&amp;TEXT(ABS($K38-$J38),"[tt]:mm")),
IF(
$K38-$J38-$G38&gt;=0,
TEXT($K38-$J38-$G38,"[tt]:mm"),
"-"&amp;TEXT(ABS($K38-$J38-$G38),"[tt]:mm")
)
)
)
))</f>
        <v>0:00</v>
      </c>
      <c r="N38" s="71" t="str">
        <f t="shared" si="13"/>
        <v>0</v>
      </c>
      <c r="O38" s="25" t="str">
        <f t="shared" si="5"/>
        <v>0:</v>
      </c>
      <c r="P38" s="52" t="str">
        <f t="shared" si="6"/>
        <v>0</v>
      </c>
      <c r="Q38" s="53">
        <f t="shared" si="10"/>
        <v>0</v>
      </c>
      <c r="R38" s="30">
        <f t="shared" si="14"/>
        <v>0</v>
      </c>
      <c r="S38" s="98"/>
      <c r="T38" s="98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</row>
    <row r="39" spans="1:45" x14ac:dyDescent="0.3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73"/>
      <c r="N39" s="29"/>
      <c r="O39" s="29"/>
      <c r="P39" s="29"/>
      <c r="Q39" s="29"/>
      <c r="R39" s="30">
        <f>SUM(R9:R38)</f>
        <v>0</v>
      </c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</row>
    <row r="40" spans="1:45" x14ac:dyDescent="0.3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</row>
    <row r="41" spans="1:45" x14ac:dyDescent="0.3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</row>
    <row r="42" spans="1:45" x14ac:dyDescent="0.3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</row>
    <row r="43" spans="1:45" x14ac:dyDescent="0.3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</row>
    <row r="44" spans="1:45" x14ac:dyDescent="0.3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</row>
    <row r="45" spans="1:45" x14ac:dyDescent="0.3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</row>
    <row r="46" spans="1:45" x14ac:dyDescent="0.3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</row>
    <row r="47" spans="1:45" x14ac:dyDescent="0.3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</row>
    <row r="48" spans="1:45" x14ac:dyDescent="0.3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</row>
    <row r="49" spans="1:45" x14ac:dyDescent="0.3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</row>
    <row r="50" spans="1:45" x14ac:dyDescent="0.3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</row>
    <row r="51" spans="1:45" x14ac:dyDescent="0.3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</row>
    <row r="52" spans="1:45" x14ac:dyDescent="0.3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</row>
    <row r="53" spans="1:45" x14ac:dyDescent="0.3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</row>
    <row r="54" spans="1:45" x14ac:dyDescent="0.3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</row>
    <row r="55" spans="1:45" x14ac:dyDescent="0.3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</row>
    <row r="56" spans="1:45" x14ac:dyDescent="0.3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</row>
    <row r="57" spans="1:45" x14ac:dyDescent="0.3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</row>
    <row r="58" spans="1:45" x14ac:dyDescent="0.3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</row>
    <row r="59" spans="1:45" x14ac:dyDescent="0.3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</row>
    <row r="60" spans="1:45" x14ac:dyDescent="0.3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</row>
    <row r="61" spans="1:45" x14ac:dyDescent="0.3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</row>
    <row r="62" spans="1:45" x14ac:dyDescent="0.3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</row>
    <row r="63" spans="1:45" x14ac:dyDescent="0.3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</row>
    <row r="64" spans="1:45" x14ac:dyDescent="0.3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</row>
    <row r="65" spans="1:45" x14ac:dyDescent="0.3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</row>
    <row r="66" spans="1:45" x14ac:dyDescent="0.3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</row>
    <row r="67" spans="1:45" x14ac:dyDescent="0.3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</row>
    <row r="68" spans="1:45" x14ac:dyDescent="0.3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</row>
    <row r="69" spans="1:45" x14ac:dyDescent="0.3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</row>
    <row r="70" spans="1:45" x14ac:dyDescent="0.3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</row>
    <row r="71" spans="1:45" x14ac:dyDescent="0.3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</row>
    <row r="72" spans="1:45" x14ac:dyDescent="0.3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</row>
    <row r="73" spans="1:45" x14ac:dyDescent="0.3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</row>
    <row r="74" spans="1:45" x14ac:dyDescent="0.3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</row>
    <row r="75" spans="1:45" x14ac:dyDescent="0.3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</row>
    <row r="76" spans="1:45" x14ac:dyDescent="0.3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</row>
    <row r="77" spans="1:45" x14ac:dyDescent="0.3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</row>
  </sheetData>
  <sheetProtection algorithmName="SHA-512" hashValue="rxAF0MLEP6nCDunvCwdUzdj+qIDAXfPwF8DWoqtUqwsK9a4+rv+DnOXbXtS+//OGJ/cdrWVmdN3mP+dpMMI4Rw==" saltValue="1MnXBZ4YKcR5JqbtzHDhyA==" spinCount="100000" sheet="1" objects="1" scenarios="1"/>
  <mergeCells count="36">
    <mergeCell ref="S14:T14"/>
    <mergeCell ref="S2:T2"/>
    <mergeCell ref="S3:T3"/>
    <mergeCell ref="S4:T4"/>
    <mergeCell ref="S5:T5"/>
    <mergeCell ref="S6:T6"/>
    <mergeCell ref="S8:T8"/>
    <mergeCell ref="S9:T9"/>
    <mergeCell ref="S10:T10"/>
    <mergeCell ref="S11:T11"/>
    <mergeCell ref="S12:T12"/>
    <mergeCell ref="S13:T13"/>
    <mergeCell ref="S26:T26"/>
    <mergeCell ref="S15:T15"/>
    <mergeCell ref="S16:T16"/>
    <mergeCell ref="S17:T17"/>
    <mergeCell ref="S18:T18"/>
    <mergeCell ref="S19:T19"/>
    <mergeCell ref="S20:T20"/>
    <mergeCell ref="S21:T21"/>
    <mergeCell ref="S22:T22"/>
    <mergeCell ref="S23:T23"/>
    <mergeCell ref="S24:T24"/>
    <mergeCell ref="S25:T25"/>
    <mergeCell ref="S38:T38"/>
    <mergeCell ref="S27:T27"/>
    <mergeCell ref="S28:T28"/>
    <mergeCell ref="S29:T29"/>
    <mergeCell ref="S30:T30"/>
    <mergeCell ref="S31:T31"/>
    <mergeCell ref="S32:T32"/>
    <mergeCell ref="S33:T33"/>
    <mergeCell ref="S34:T34"/>
    <mergeCell ref="S35:T35"/>
    <mergeCell ref="S36:T36"/>
    <mergeCell ref="S37:T37"/>
  </mergeCells>
  <conditionalFormatting sqref="A9:H38">
    <cfRule type="expression" dxfId="9" priority="1">
      <formula>$F9="F"</formula>
    </cfRule>
    <cfRule type="expression" dxfId="8" priority="3">
      <formula>OR(NOT(OR($C9="mandag", $C9="tirsdag",$C9="onsdag",$C9="torsdag",$C9="fredag")),$F9="F")</formula>
    </cfRule>
  </conditionalFormatting>
  <conditionalFormatting sqref="G9:H38">
    <cfRule type="expression" dxfId="7" priority="5">
      <formula>AND($F9="N", (OR($C9="mandag", $C9="tirsdag",$C9="onsdag",$C9="torsdag",$C9="fredag")))</formula>
    </cfRule>
  </conditionalFormatting>
  <conditionalFormatting sqref="I9:K38">
    <cfRule type="expression" dxfId="6" priority="2">
      <formula>OR($F9="N",$F9="F")</formula>
    </cfRule>
    <cfRule type="expression" dxfId="5" priority="4">
      <formula>$F9="R"</formula>
    </cfRule>
  </conditionalFormatting>
  <dataValidations count="2">
    <dataValidation type="list" allowBlank="1" showInputMessage="1" showErrorMessage="1" sqref="F9:F38" xr:uid="{38B2806F-231D-4FFB-AEAE-FFC6AD4DA53A}">
      <formula1>IF($B$2,$M$3:$M$5,$M$4:$M$5)</formula1>
    </dataValidation>
    <dataValidation type="time" allowBlank="1" showInputMessage="1" showErrorMessage="1" sqref="I9:K38" xr:uid="{3FA07A7C-F42B-4DC9-AC0E-79602F13E502}">
      <formula1>0</formula1>
      <formula2>0.999305555555556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54665-F716-4E94-8B79-21C8BC091FF6}">
  <dimension ref="A1:AS78"/>
  <sheetViews>
    <sheetView zoomScale="70" zoomScaleNormal="70" workbookViewId="0">
      <selection activeCell="I5" sqref="I5"/>
    </sheetView>
  </sheetViews>
  <sheetFormatPr defaultRowHeight="14.4" outlineLevelCol="1" x14ac:dyDescent="0.3"/>
  <cols>
    <col min="1" max="1" width="15.5546875" customWidth="1"/>
    <col min="2" max="2" width="14.109375" customWidth="1"/>
    <col min="3" max="3" width="16.6640625" customWidth="1"/>
    <col min="4" max="4" width="15" hidden="1" customWidth="1"/>
    <col min="5" max="5" width="12.88671875" hidden="1" customWidth="1"/>
    <col min="6" max="6" width="13.5546875" bestFit="1" customWidth="1"/>
    <col min="7" max="7" width="16.33203125" bestFit="1" customWidth="1"/>
    <col min="8" max="8" width="24.109375" hidden="1" customWidth="1"/>
    <col min="9" max="9" width="17.88671875" customWidth="1"/>
    <col min="10" max="11" width="11.33203125" customWidth="1"/>
    <col min="12" max="12" width="18.6640625" customWidth="1"/>
    <col min="13" max="13" width="11.5546875" customWidth="1"/>
    <col min="14" max="15" width="11.109375" hidden="1" customWidth="1" outlineLevel="1"/>
    <col min="16" max="16" width="7.6640625" hidden="1" customWidth="1" outlineLevel="1"/>
    <col min="17" max="18" width="7.5546875" hidden="1" customWidth="1" outlineLevel="1"/>
    <col min="19" max="19" width="53.44140625" customWidth="1" collapsed="1"/>
    <col min="20" max="20" width="29.44140625" customWidth="1"/>
    <col min="21" max="21" width="9.109375" hidden="1" customWidth="1" outlineLevel="1"/>
    <col min="22" max="22" width="24.6640625" hidden="1" customWidth="1" outlineLevel="1"/>
    <col min="23" max="23" width="43" hidden="1" customWidth="1" outlineLevel="1"/>
    <col min="24" max="24" width="14" hidden="1" customWidth="1" outlineLevel="1"/>
    <col min="25" max="25" width="19.44140625" customWidth="1" outlineLevel="1"/>
  </cols>
  <sheetData>
    <row r="1" spans="1:45" ht="16.5" customHeight="1" thickBot="1" x14ac:dyDescent="0.35">
      <c r="A1" s="14" t="s">
        <v>102</v>
      </c>
      <c r="B1" s="15">
        <v>37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</row>
    <row r="2" spans="1:45" ht="36" customHeight="1" x14ac:dyDescent="0.3">
      <c r="A2" s="39" t="s">
        <v>130</v>
      </c>
      <c r="B2" s="91" t="b">
        <v>0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48" t="s">
        <v>21</v>
      </c>
      <c r="N2" s="67"/>
      <c r="O2" s="67"/>
      <c r="P2" s="67"/>
      <c r="Q2" s="67"/>
      <c r="R2" s="67"/>
      <c r="S2" s="99" t="s">
        <v>22</v>
      </c>
      <c r="T2" s="100"/>
      <c r="U2" s="45"/>
      <c r="W2" s="45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</row>
    <row r="3" spans="1:45" ht="33.75" customHeight="1" x14ac:dyDescent="0.3">
      <c r="A3" s="38" t="s">
        <v>59</v>
      </c>
      <c r="B3" s="68" t="str">
        <f ca="1">Masterdata!$D$27</f>
        <v>00:00</v>
      </c>
      <c r="C3" s="46"/>
      <c r="D3" s="29"/>
      <c r="E3" s="29"/>
      <c r="F3" s="29"/>
      <c r="G3" s="29"/>
      <c r="H3" s="29"/>
      <c r="I3" s="29"/>
      <c r="J3" s="29"/>
      <c r="K3" s="88"/>
      <c r="L3" s="46"/>
      <c r="M3" s="89" t="s">
        <v>49</v>
      </c>
      <c r="N3" s="29"/>
      <c r="O3" s="29"/>
      <c r="P3" s="29"/>
      <c r="Q3" s="29"/>
      <c r="R3" s="29"/>
      <c r="S3" s="101" t="s">
        <v>131</v>
      </c>
      <c r="T3" s="102"/>
      <c r="U3" s="45"/>
      <c r="V3" s="45"/>
      <c r="W3" s="45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</row>
    <row r="4" spans="1:45" ht="28.8" x14ac:dyDescent="0.3">
      <c r="A4" s="39" t="s">
        <v>63</v>
      </c>
      <c r="B4" s="68" t="str">
        <f>IF(R40&lt;0,"-"&amp;TEXT(ABS(R40/24),"[tt]:mm"),TEXT(R40/24,"[tt]:mm"))</f>
        <v>00:00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35" t="s">
        <v>23</v>
      </c>
      <c r="N4" s="29"/>
      <c r="O4" s="29"/>
      <c r="P4" s="29"/>
      <c r="Q4" s="29"/>
      <c r="R4" s="29"/>
      <c r="S4" s="101" t="s">
        <v>24</v>
      </c>
      <c r="T4" s="102"/>
      <c r="U4" s="46"/>
      <c r="V4" s="46"/>
      <c r="W4" s="46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</row>
    <row r="5" spans="1:45" ht="59.1" customHeight="1" x14ac:dyDescent="0.3">
      <c r="A5" s="17" t="s">
        <v>2</v>
      </c>
      <c r="B5" s="40">
        <f>Masterdata!$B$5</f>
        <v>2026</v>
      </c>
      <c r="C5" s="29"/>
      <c r="D5" s="29"/>
      <c r="E5" s="29"/>
      <c r="F5" s="29"/>
      <c r="G5" s="29"/>
      <c r="H5" s="29"/>
      <c r="I5" s="29"/>
      <c r="J5" s="29"/>
      <c r="K5" s="29"/>
      <c r="L5" s="29"/>
      <c r="M5" s="35" t="s">
        <v>25</v>
      </c>
      <c r="N5" s="29"/>
      <c r="O5" s="29"/>
      <c r="P5" s="29"/>
      <c r="Q5" s="29"/>
      <c r="R5" s="29"/>
      <c r="S5" s="103" t="s">
        <v>120</v>
      </c>
      <c r="T5" s="104"/>
      <c r="U5" s="47"/>
      <c r="V5" s="47"/>
      <c r="W5" s="47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</row>
    <row r="6" spans="1:45" ht="15" thickBot="1" x14ac:dyDescent="0.35">
      <c r="A6" s="13" t="s">
        <v>20</v>
      </c>
      <c r="B6" s="18">
        <f>B9</f>
        <v>46357</v>
      </c>
      <c r="C6" s="29"/>
      <c r="D6" s="29"/>
      <c r="E6" s="29"/>
      <c r="F6" s="29"/>
      <c r="G6" s="29"/>
      <c r="H6" s="29"/>
      <c r="I6" s="29"/>
      <c r="J6" s="29"/>
      <c r="K6" s="29"/>
      <c r="L6" s="29"/>
      <c r="M6" s="36" t="s">
        <v>26</v>
      </c>
      <c r="N6" s="69"/>
      <c r="O6" s="69"/>
      <c r="P6" s="69"/>
      <c r="Q6" s="69"/>
      <c r="R6" s="69"/>
      <c r="S6" s="105" t="s">
        <v>27</v>
      </c>
      <c r="T6" s="106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</row>
    <row r="7" spans="1:45" ht="15" thickBot="1" x14ac:dyDescent="0.35">
      <c r="A7" s="29"/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87">
        <f>$B$1/24</f>
        <v>1.5416666666666667</v>
      </c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</row>
    <row r="8" spans="1:45" ht="21.75" customHeight="1" thickBot="1" x14ac:dyDescent="0.35">
      <c r="A8" s="4" t="s">
        <v>28</v>
      </c>
      <c r="B8" s="5" t="s">
        <v>29</v>
      </c>
      <c r="C8" s="5" t="s">
        <v>30</v>
      </c>
      <c r="D8" s="5" t="s">
        <v>31</v>
      </c>
      <c r="E8" s="5" t="s">
        <v>32</v>
      </c>
      <c r="F8" s="5" t="s">
        <v>21</v>
      </c>
      <c r="G8" s="5" t="s">
        <v>102</v>
      </c>
      <c r="H8" s="5" t="s">
        <v>129</v>
      </c>
      <c r="I8" s="5" t="s">
        <v>33</v>
      </c>
      <c r="J8" s="6" t="s">
        <v>34</v>
      </c>
      <c r="K8" s="6" t="s">
        <v>35</v>
      </c>
      <c r="L8" s="6" t="s">
        <v>103</v>
      </c>
      <c r="M8" s="5" t="s">
        <v>36</v>
      </c>
      <c r="N8" s="22" t="s">
        <v>37</v>
      </c>
      <c r="O8" s="23" t="s">
        <v>38</v>
      </c>
      <c r="P8" s="23" t="s">
        <v>39</v>
      </c>
      <c r="Q8" s="23"/>
      <c r="R8" s="29"/>
      <c r="S8" s="107" t="s">
        <v>40</v>
      </c>
      <c r="T8" s="108"/>
      <c r="U8" s="29"/>
      <c r="V8" s="29"/>
      <c r="W8" s="29" t="s">
        <v>41</v>
      </c>
      <c r="X8" s="29">
        <v>5</v>
      </c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</row>
    <row r="9" spans="1:45" x14ac:dyDescent="0.3">
      <c r="A9" s="7">
        <f>WEEKNUM($B9,21)</f>
        <v>49</v>
      </c>
      <c r="B9" s="8">
        <f>DATE(Masterdata!$B$5,12,1)</f>
        <v>46357</v>
      </c>
      <c r="C9" s="9" t="str" cm="1">
        <f t="array" ref="C9">_xlfn.XLOOKUP(E9,Masterdata!$B$31:$B$44,Masterdata!$A$31:$A$44,_xlfn.SWITCH(WEEKDAY($D9, 2), 1, "mandag", 2, "tirsdag", 3, "onsdag", 4, "torsdag", 5, "fredag", 6, "lørdag", 7, "søndag"),0)</f>
        <v>tirsdag</v>
      </c>
      <c r="D9" s="29">
        <f t="shared" ref="D9:D39" si="0">WEEKDAY($B9, 2)+1</f>
        <v>3</v>
      </c>
      <c r="E9" s="70">
        <f>$B9</f>
        <v>46357</v>
      </c>
      <c r="F9" s="10" t="s">
        <v>23</v>
      </c>
      <c r="G9" s="12">
        <f>IF(OR(AND(F9="N",NOT(OR(C9="mandag",C9="tirsdag",C9="onsdag",C9="torsdag",C9="fredag"))),F9="F"),0,
        IF(OR(
            AND(Masterdata!$B$4&lt;&gt;DATE(1900,1,0), Masterdata!$B$4&lt;$E9),
            AND(Masterdata!$B$3&lt;&gt;DATE(1900,1,0), Masterdata!$B$3&gt;$E9)
        ),
        0, $X$7/(5-H9)))</f>
        <v>0.30833333333333335</v>
      </c>
      <c r="H9" s="86">
        <f>SUMPRODUCT(COUNTIFS(November!$A$9:$A$39,$A9,November!$D$9:$D$39,"&lt;7",November!$F$9:$F$39,"F")+COUNTIFS($A$9:$A$38,$A9,$D$9:$D$38,"&lt;7",$F$9:$F$38,"F"))</f>
        <v>0</v>
      </c>
      <c r="I9" s="11">
        <v>0</v>
      </c>
      <c r="J9" s="11">
        <v>0</v>
      </c>
      <c r="K9" s="11">
        <v>0</v>
      </c>
      <c r="L9" s="26" t="str">
        <f t="shared" ref="L9:L15" si="1">IF($F9="F","00:00",
IF($F9="N",TEXT($G9,"[tt]:mm"),
IF($I9&lt;&gt;0,TEXT($I9,"[tt]:mm"),
IF($K9-$J9&gt;=0,
TEXT($K9-$J9,"[tt]:mm"),
"-"&amp;TEXT(ABS($K9-$J9),"[tt]:mm")))))</f>
        <v>07:24</v>
      </c>
      <c r="M9" s="26" t="str">
        <f>IF(OR(F9="N",F9="F"),"0:00",
IF(
OR(
AND(Masterdata!$B$4&lt;&gt;DATE(1900,1,0),Masterdata!$B$4&lt;$E9),
AND(Masterdata!$B$3&lt;&gt;DATE(1900,1,0),Masterdata!$B$3&gt;$E9)
),"0:00",
IF(
$I9&gt;TIME(0,0,0),
IF(
NOT(OR($C9="mandag",$C9="tirsdag",$C9="onsdag",$C9="torsdag",$C9="fredag")),
TEXT($I9,"[tt]:mm"),
IF($I9-$G9&gt;=0,TEXT($I9-$G9,"[tt]:mm"),"-"&amp;TEXT(ABS($I9-$G9),"[tt]:mm"))
),
IF(
NOT(OR($C9="mandag",$C9="tirsdag",$C9="onsdag",$C9="torsdag",$C9="fredag")),
IF($K9-$J9&gt;=0,TEXT($K9-$J9,"[tt]:mm"),"-"&amp;TEXT(ABS($K9-$J9),"[tt]:mm")),
IF(
$K9-$J9-$G9&gt;=0,
TEXT($K9-$J9-$G9,"[tt]:mm"),
"-"&amp;TEXT(ABS($K9-$J9-$G9),"[tt]:mm")
)
)
)
))</f>
        <v>0:00</v>
      </c>
      <c r="N9" s="71" t="str">
        <f>LEFT(M9,1)</f>
        <v>0</v>
      </c>
      <c r="O9" s="25" t="str">
        <f>IF($N9="-",LEFT($M9,3),LEFT($M9,2))</f>
        <v>0:</v>
      </c>
      <c r="P9" s="52" t="str">
        <f>IF($N9="-",MID($M9,5,2),MID($M9,4,2))</f>
        <v>0</v>
      </c>
      <c r="Q9" s="53">
        <f>P9/60</f>
        <v>0</v>
      </c>
      <c r="R9" s="30">
        <f>IF(N9="-",O9-Q9,O9+Q9)</f>
        <v>0</v>
      </c>
      <c r="S9" s="109"/>
      <c r="T9" s="109"/>
      <c r="U9" s="29"/>
      <c r="V9" s="29"/>
      <c r="W9" s="29" t="s">
        <v>42</v>
      </c>
      <c r="X9" s="72">
        <f>$B$1/X8</f>
        <v>7.4</v>
      </c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</row>
    <row r="10" spans="1:45" x14ac:dyDescent="0.3">
      <c r="A10" s="7">
        <f t="shared" ref="A10:A39" si="2">WEEKNUM($B10,21)</f>
        <v>49</v>
      </c>
      <c r="B10" s="8">
        <f>B9+1</f>
        <v>46358</v>
      </c>
      <c r="C10" s="9" t="str" cm="1">
        <f t="array" ref="C10">_xlfn.XLOOKUP(E10,Masterdata!$B$31:$B$44,Masterdata!$A$31:$A$44,_xlfn.SWITCH(WEEKDAY($D10, 2), 1, "mandag", 2, "tirsdag", 3, "onsdag", 4, "torsdag", 5, "fredag", 6, "lørdag", 7, "søndag"),0)</f>
        <v>onsdag</v>
      </c>
      <c r="D10" s="29">
        <f t="shared" si="0"/>
        <v>4</v>
      </c>
      <c r="E10" s="70">
        <f t="shared" ref="E10:E39" si="3">$B10</f>
        <v>46358</v>
      </c>
      <c r="F10" s="10" t="s">
        <v>23</v>
      </c>
      <c r="G10" s="12">
        <f>IF(OR(AND(F10="N",NOT(OR(C10="mandag",C10="tirsdag",C10="onsdag",C10="torsdag",C10="fredag"))),F10="F"),0,
        IF(OR(
            AND(Masterdata!$B$4&lt;&gt;DATE(1900,1,0), Masterdata!$B$4&lt;$E10),
            AND(Masterdata!$B$3&lt;&gt;DATE(1900,1,0), Masterdata!$B$3&gt;$E10)
        ),
        0, $X$7/(5-H10)))</f>
        <v>0.30833333333333335</v>
      </c>
      <c r="H10" s="86">
        <f>SUMPRODUCT(COUNTIFS(November!$A$9:$A$39,$A10,November!$D$9:$D$39,"&lt;7",November!$F$9:$F$39,"F")+COUNTIFS($A$9:$A$38,$A10,$D$9:$D$38,"&lt;7",$F$9:$F$38,"F"))</f>
        <v>0</v>
      </c>
      <c r="I10" s="11">
        <v>0</v>
      </c>
      <c r="J10" s="11">
        <v>0</v>
      </c>
      <c r="K10" s="11">
        <v>0</v>
      </c>
      <c r="L10" s="26" t="str">
        <f t="shared" si="1"/>
        <v>07:24</v>
      </c>
      <c r="M10" s="26" t="str">
        <f>IF(OR(F10="N",F10="F"),"0:00",
IF(
OR(
AND(Masterdata!$B$4&lt;&gt;DATE(1900,1,0),Masterdata!$B$4&lt;$E10),
AND(Masterdata!$B$3&lt;&gt;DATE(1900,1,0),Masterdata!$B$3&gt;$E10)
),"0:00",
IF(
$I10&gt;TIME(0,0,0),
IF(
NOT(OR($C10="mandag",$C10="tirsdag",$C10="onsdag",$C10="torsdag",$C10="fredag")),
TEXT($I10,"[tt]:mm"),
IF($I10-$G10&gt;=0,TEXT($I10-$G10,"[tt]:mm"),"-"&amp;TEXT(ABS($I10-$G10),"[tt]:mm"))
),
IF(
NOT(OR($C10="mandag",$C10="tirsdag",$C10="onsdag",$C10="torsdag",$C10="fredag")),
IF($K10-$J10&gt;=0,TEXT($K10-$J10,"[tt]:mm"),"-"&amp;TEXT(ABS($K10-$J10),"[tt]:mm")),
IF(
$K10-$J10-$G10&gt;=0,
TEXT($K10-$J10-$G10,"[tt]:mm"),
"-"&amp;TEXT(ABS($K10-$J10-$G10),"[tt]:mm")
)
)
)
))</f>
        <v>0:00</v>
      </c>
      <c r="N10" s="71" t="str">
        <f t="shared" ref="N10:N20" si="4">LEFT(M10,1)</f>
        <v>0</v>
      </c>
      <c r="O10" s="25" t="str">
        <f t="shared" ref="O10:O39" si="5">IF($N10="-",LEFT($M10,3),LEFT($M10,2))</f>
        <v>0:</v>
      </c>
      <c r="P10" s="52" t="str">
        <f t="shared" ref="P10:P39" si="6">IF($N10="-",MID($M10,5,2),MID($M10,4,2))</f>
        <v>0</v>
      </c>
      <c r="Q10" s="53">
        <f t="shared" ref="Q10:Q14" si="7">P10/60</f>
        <v>0</v>
      </c>
      <c r="R10" s="30">
        <f t="shared" ref="R10:R14" si="8">IF(N10="-",O10-Q10,O10+Q10)</f>
        <v>0</v>
      </c>
      <c r="S10" s="109"/>
      <c r="T10" s="109"/>
      <c r="U10" s="29"/>
      <c r="V10" s="29"/>
      <c r="W10" s="29" t="s">
        <v>43</v>
      </c>
      <c r="X10" s="73">
        <f>X9/24</f>
        <v>0.30833333333333335</v>
      </c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</row>
    <row r="11" spans="1:45" x14ac:dyDescent="0.3">
      <c r="A11" s="7">
        <f t="shared" si="2"/>
        <v>49</v>
      </c>
      <c r="B11" s="8">
        <f t="shared" ref="B11:B39" si="9">B10+1</f>
        <v>46359</v>
      </c>
      <c r="C11" s="9" t="str" cm="1">
        <f t="array" ref="C11">_xlfn.XLOOKUP(E11,Masterdata!$B$31:$B$44,Masterdata!$A$31:$A$44,_xlfn.SWITCH(WEEKDAY($D11, 2), 1, "mandag", 2, "tirsdag", 3, "onsdag", 4, "torsdag", 5, "fredag", 6, "lørdag", 7, "søndag"),0)</f>
        <v>torsdag</v>
      </c>
      <c r="D11" s="29">
        <f t="shared" si="0"/>
        <v>5</v>
      </c>
      <c r="E11" s="70">
        <f t="shared" si="3"/>
        <v>46359</v>
      </c>
      <c r="F11" s="10" t="s">
        <v>23</v>
      </c>
      <c r="G11" s="12">
        <f>IF(OR(AND(F11="N",NOT(OR(C11="mandag",C11="tirsdag",C11="onsdag",C11="torsdag",C11="fredag"))),F11="F"),0,
        IF(OR(
            AND(Masterdata!$B$4&lt;&gt;DATE(1900,1,0), Masterdata!$B$4&lt;$E11),
            AND(Masterdata!$B$3&lt;&gt;DATE(1900,1,0), Masterdata!$B$3&gt;$E11)
        ),
        0, $X$7/(5-H11)))</f>
        <v>0.30833333333333335</v>
      </c>
      <c r="H11" s="86">
        <f>SUMPRODUCT(COUNTIFS(November!$A$9:$A$39,$A11,November!$D$9:$D$39,"&lt;7",November!$F$9:$F$39,"F")+COUNTIFS($A$9:$A$38,$A11,$D$9:$D$38,"&lt;7",$F$9:$F$38,"F"))</f>
        <v>0</v>
      </c>
      <c r="I11" s="11">
        <v>0</v>
      </c>
      <c r="J11" s="11">
        <v>0</v>
      </c>
      <c r="K11" s="11">
        <v>0</v>
      </c>
      <c r="L11" s="26" t="str">
        <f t="shared" si="1"/>
        <v>07:24</v>
      </c>
      <c r="M11" s="26" t="str">
        <f>IF(OR(F11="N",F11="F"),"0:00",
IF(
OR(
AND(Masterdata!$B$4&lt;&gt;DATE(1900,1,0),Masterdata!$B$4&lt;$E11),
AND(Masterdata!$B$3&lt;&gt;DATE(1900,1,0),Masterdata!$B$3&gt;$E11)
),"0:00",
IF(
$I11&gt;TIME(0,0,0),
IF(
NOT(OR($C11="mandag",$C11="tirsdag",$C11="onsdag",$C11="torsdag",$C11="fredag")),
TEXT($I11,"[tt]:mm"),
IF($I11-$G11&gt;=0,TEXT($I11-$G11,"[tt]:mm"),"-"&amp;TEXT(ABS($I11-$G11),"[tt]:mm"))
),
IF(
NOT(OR($C11="mandag",$C11="tirsdag",$C11="onsdag",$C11="torsdag",$C11="fredag")),
IF($K11-$J11&gt;=0,TEXT($K11-$J11,"[tt]:mm"),"-"&amp;TEXT(ABS($K11-$J11),"[tt]:mm")),
IF(
$K11-$J11-$G11&gt;=0,
TEXT($K11-$J11-$G11,"[tt]:mm"),
"-"&amp;TEXT(ABS($K11-$J11-$G11),"[tt]:mm")
)
)
)
))</f>
        <v>0:00</v>
      </c>
      <c r="N11" s="71" t="str">
        <f t="shared" si="4"/>
        <v>0</v>
      </c>
      <c r="O11" s="25" t="str">
        <f t="shared" si="5"/>
        <v>0:</v>
      </c>
      <c r="P11" s="52" t="str">
        <f t="shared" si="6"/>
        <v>0</v>
      </c>
      <c r="Q11" s="53">
        <f t="shared" si="7"/>
        <v>0</v>
      </c>
      <c r="R11" s="30">
        <f t="shared" si="8"/>
        <v>0</v>
      </c>
      <c r="S11" s="109"/>
      <c r="T11" s="109"/>
      <c r="U11" s="29" t="s">
        <v>23</v>
      </c>
      <c r="V11" s="29" t="s">
        <v>44</v>
      </c>
      <c r="W11" s="29" t="s">
        <v>45</v>
      </c>
      <c r="X11" s="30">
        <f>(B1/37)*160.33</f>
        <v>160.33000000000001</v>
      </c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</row>
    <row r="12" spans="1:45" x14ac:dyDescent="0.3">
      <c r="A12" s="7">
        <f t="shared" si="2"/>
        <v>49</v>
      </c>
      <c r="B12" s="8">
        <f t="shared" si="9"/>
        <v>46360</v>
      </c>
      <c r="C12" s="9" t="str" cm="1">
        <f t="array" ref="C12">_xlfn.XLOOKUP(E12,Masterdata!$B$31:$B$44,Masterdata!$A$31:$A$44,_xlfn.SWITCH(WEEKDAY($D12, 2), 1, "mandag", 2, "tirsdag", 3, "onsdag", 4, "torsdag", 5, "fredag", 6, "lørdag", 7, "søndag"),0)</f>
        <v>fredag</v>
      </c>
      <c r="D12" s="29">
        <f t="shared" si="0"/>
        <v>6</v>
      </c>
      <c r="E12" s="70">
        <f t="shared" si="3"/>
        <v>46360</v>
      </c>
      <c r="F12" s="10" t="s">
        <v>23</v>
      </c>
      <c r="G12" s="12">
        <f>IF(OR(AND(F12="N",NOT(OR(C12="mandag",C12="tirsdag",C12="onsdag",C12="torsdag",C12="fredag"))),F12="F"),0,
        IF(OR(
            AND(Masterdata!$B$4&lt;&gt;DATE(1900,1,0), Masterdata!$B$4&lt;$E12),
            AND(Masterdata!$B$3&lt;&gt;DATE(1900,1,0), Masterdata!$B$3&gt;$E12)
        ),
        0, $X$7/(5-H12)))</f>
        <v>0.30833333333333335</v>
      </c>
      <c r="H12" s="86">
        <f>SUMPRODUCT(COUNTIFS(November!$A$9:$A$39,$A12,November!$D$9:$D$39,"&lt;7",November!$F$9:$F$39,"F")+COUNTIFS($A$9:$A$38,$A12,$D$9:$D$38,"&lt;7",$F$9:$F$38,"F"))</f>
        <v>0</v>
      </c>
      <c r="I12" s="11">
        <v>0</v>
      </c>
      <c r="J12" s="11">
        <v>0</v>
      </c>
      <c r="K12" s="11">
        <v>0</v>
      </c>
      <c r="L12" s="26" t="str">
        <f t="shared" si="1"/>
        <v>07:24</v>
      </c>
      <c r="M12" s="26" t="str">
        <f>IF(OR(F12="N",F12="F"),"0:00",
IF(
OR(
AND(Masterdata!$B$4&lt;&gt;DATE(1900,1,0),Masterdata!$B$4&lt;$E12),
AND(Masterdata!$B$3&lt;&gt;DATE(1900,1,0),Masterdata!$B$3&gt;$E12)
),"0:00",
IF(
$I12&gt;TIME(0,0,0),
IF(
NOT(OR($C12="mandag",$C12="tirsdag",$C12="onsdag",$C12="torsdag",$C12="fredag")),
TEXT($I12,"[tt]:mm"),
IF($I12-$G12&gt;=0,TEXT($I12-$G12,"[tt]:mm"),"-"&amp;TEXT(ABS($I12-$G12),"[tt]:mm"))
),
IF(
NOT(OR($C12="mandag",$C12="tirsdag",$C12="onsdag",$C12="torsdag",$C12="fredag")),
IF($K12-$J12&gt;=0,TEXT($K12-$J12,"[tt]:mm"),"-"&amp;TEXT(ABS($K12-$J12),"[tt]:mm")),
IF(
$K12-$J12-$G12&gt;=0,
TEXT($K12-$J12-$G12,"[tt]:mm"),
"-"&amp;TEXT(ABS($K12-$J12-$G12),"[tt]:mm")
)
)
)
))</f>
        <v>0:00</v>
      </c>
      <c r="N12" s="71" t="str">
        <f t="shared" si="4"/>
        <v>0</v>
      </c>
      <c r="O12" s="25" t="str">
        <f t="shared" si="5"/>
        <v>0:</v>
      </c>
      <c r="P12" s="52" t="str">
        <f t="shared" si="6"/>
        <v>0</v>
      </c>
      <c r="Q12" s="53">
        <f t="shared" si="7"/>
        <v>0</v>
      </c>
      <c r="R12" s="30">
        <f t="shared" si="8"/>
        <v>0</v>
      </c>
      <c r="S12" s="109"/>
      <c r="T12" s="10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</row>
    <row r="13" spans="1:45" x14ac:dyDescent="0.3">
      <c r="A13" s="7">
        <f t="shared" si="2"/>
        <v>49</v>
      </c>
      <c r="B13" s="8">
        <f t="shared" si="9"/>
        <v>46361</v>
      </c>
      <c r="C13" s="9" t="str" cm="1">
        <f t="array" ref="C13">_xlfn.XLOOKUP(E13,Masterdata!$B$31:$B$44,Masterdata!$A$31:$A$44,_xlfn.SWITCH(WEEKDAY($D13, 2), 1, "mandag", 2, "tirsdag", 3, "onsdag", 4, "torsdag", 5, "fredag", 6, "lørdag", 7, "søndag"),0)</f>
        <v>lørdag</v>
      </c>
      <c r="D13" s="29">
        <f t="shared" si="0"/>
        <v>7</v>
      </c>
      <c r="E13" s="70">
        <f t="shared" si="3"/>
        <v>46361</v>
      </c>
      <c r="F13" s="10" t="s">
        <v>23</v>
      </c>
      <c r="G13" s="12">
        <f>IF(OR(AND(F13="N",NOT(OR(C13="mandag",C13="tirsdag",C13="onsdag",C13="torsdag",C13="fredag"))),F13="F"),0,
        IF(OR(
            AND(Masterdata!$B$4&lt;&gt;DATE(1900,1,0), Masterdata!$B$4&lt;$E13),
            AND(Masterdata!$B$3&lt;&gt;DATE(1900,1,0), Masterdata!$B$3&gt;$E13)
        ),
        0, $X$7/(5-H13)))</f>
        <v>0</v>
      </c>
      <c r="H13" s="86">
        <f>SUMPRODUCT(COUNTIFS(November!$A$9:$A$39,$A13,November!$D$9:$D$39,"&lt;7",November!$F$9:$F$39,"F")+COUNTIFS($A$9:$A$38,$A13,$D$9:$D$38,"&lt;7",$F$9:$F$38,"F"))</f>
        <v>0</v>
      </c>
      <c r="I13" s="11">
        <v>0</v>
      </c>
      <c r="J13" s="11">
        <v>0</v>
      </c>
      <c r="K13" s="11">
        <v>0</v>
      </c>
      <c r="L13" s="26" t="str">
        <f t="shared" si="1"/>
        <v>00:00</v>
      </c>
      <c r="M13" s="26" t="str">
        <f>IF(OR(F13="N",F13="F"),"0:00",
IF(
OR(
AND(Masterdata!$B$4&lt;&gt;DATE(1900,1,0),Masterdata!$B$4&lt;$E13),
AND(Masterdata!$B$3&lt;&gt;DATE(1900,1,0),Masterdata!$B$3&gt;$E13)
),"0:00",
IF(
$I13&gt;TIME(0,0,0),
IF(
NOT(OR($C13="mandag",$C13="tirsdag",$C13="onsdag",$C13="torsdag",$C13="fredag")),
TEXT($I13,"[tt]:mm"),
IF($I13-$G13&gt;=0,TEXT($I13-$G13,"[tt]:mm"),"-"&amp;TEXT(ABS($I13-$G13),"[tt]:mm"))
),
IF(
NOT(OR($C13="mandag",$C13="tirsdag",$C13="onsdag",$C13="torsdag",$C13="fredag")),
IF($K13-$J13&gt;=0,TEXT($K13-$J13,"[tt]:mm"),"-"&amp;TEXT(ABS($K13-$J13),"[tt]:mm")),
IF(
$K13-$J13-$G13&gt;=0,
TEXT($K13-$J13-$G13,"[tt]:mm"),
"-"&amp;TEXT(ABS($K13-$J13-$G13),"[tt]:mm")
)
)
)
))</f>
        <v>0:00</v>
      </c>
      <c r="N13" s="71" t="str">
        <f t="shared" si="4"/>
        <v>0</v>
      </c>
      <c r="O13" s="25" t="str">
        <f t="shared" si="5"/>
        <v>0:</v>
      </c>
      <c r="P13" s="52" t="str">
        <f t="shared" si="6"/>
        <v>0</v>
      </c>
      <c r="Q13" s="53">
        <f t="shared" si="7"/>
        <v>0</v>
      </c>
      <c r="R13" s="30">
        <f t="shared" si="8"/>
        <v>0</v>
      </c>
      <c r="S13" s="109"/>
      <c r="T13" s="109"/>
      <c r="U13" s="29"/>
      <c r="V13" s="29"/>
      <c r="W13" s="29"/>
      <c r="X13" s="30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</row>
    <row r="14" spans="1:45" x14ac:dyDescent="0.3">
      <c r="A14" s="7">
        <f t="shared" si="2"/>
        <v>49</v>
      </c>
      <c r="B14" s="8">
        <f t="shared" si="9"/>
        <v>46362</v>
      </c>
      <c r="C14" s="9" t="str" cm="1">
        <f t="array" ref="C14">_xlfn.XLOOKUP(E14,Masterdata!$B$31:$B$44,Masterdata!$A$31:$A$44,_xlfn.SWITCH(WEEKDAY($D14, 2), 1, "mandag", 2, "tirsdag", 3, "onsdag", 4, "torsdag", 5, "fredag", 6, "lørdag", 7, "søndag"),0)</f>
        <v>søndag</v>
      </c>
      <c r="D14" s="29">
        <f t="shared" si="0"/>
        <v>8</v>
      </c>
      <c r="E14" s="70">
        <f t="shared" si="3"/>
        <v>46362</v>
      </c>
      <c r="F14" s="10" t="s">
        <v>23</v>
      </c>
      <c r="G14" s="12">
        <f>IF(OR(AND(F14="N",NOT(OR(C14="mandag",C14="tirsdag",C14="onsdag",C14="torsdag",C14="fredag"))),F14="F"),0,
        IF(OR(
            AND(Masterdata!$B$4&lt;&gt;DATE(1900,1,0), Masterdata!$B$4&lt;$E14),
            AND(Masterdata!$B$3&lt;&gt;DATE(1900,1,0), Masterdata!$B$3&gt;$E14)
        ),
        0, $X$7/(5-H14)))</f>
        <v>0</v>
      </c>
      <c r="H14" s="86">
        <f>SUMPRODUCT(COUNTIFS(November!$A$9:$A$39,$A14,November!$D$9:$D$39,"&lt;7",November!$F$9:$F$39,"F")+COUNTIFS($A$9:$A$38,$A14,$D$9:$D$38,"&lt;7",$F$9:$F$38,"F"))</f>
        <v>0</v>
      </c>
      <c r="I14" s="11">
        <v>0</v>
      </c>
      <c r="J14" s="11">
        <v>0</v>
      </c>
      <c r="K14" s="11">
        <v>0</v>
      </c>
      <c r="L14" s="26" t="str">
        <f t="shared" si="1"/>
        <v>00:00</v>
      </c>
      <c r="M14" s="26" t="str">
        <f>IF(OR(F14="N",F14="F"),"0:00",
IF(
OR(
AND(Masterdata!$B$4&lt;&gt;DATE(1900,1,0),Masterdata!$B$4&lt;$E14),
AND(Masterdata!$B$3&lt;&gt;DATE(1900,1,0),Masterdata!$B$3&gt;$E14)
),"0:00",
IF(
$I14&gt;TIME(0,0,0),
IF(
NOT(OR($C14="mandag",$C14="tirsdag",$C14="onsdag",$C14="torsdag",$C14="fredag")),
TEXT($I14,"[tt]:mm"),
IF($I14-$G14&gt;=0,TEXT($I14-$G14,"[tt]:mm"),"-"&amp;TEXT(ABS($I14-$G14),"[tt]:mm"))
),
IF(
NOT(OR($C14="mandag",$C14="tirsdag",$C14="onsdag",$C14="torsdag",$C14="fredag")),
IF($K14-$J14&gt;=0,TEXT($K14-$J14,"[tt]:mm"),"-"&amp;TEXT(ABS($K14-$J14),"[tt]:mm")),
IF(
$K14-$J14-$G14&gt;=0,
TEXT($K14-$J14-$G14,"[tt]:mm"),
"-"&amp;TEXT(ABS($K14-$J14-$G14),"[tt]:mm")
)
)
)
))</f>
        <v>0:00</v>
      </c>
      <c r="N14" s="71" t="str">
        <f t="shared" si="4"/>
        <v>0</v>
      </c>
      <c r="O14" s="25" t="str">
        <f t="shared" si="5"/>
        <v>0:</v>
      </c>
      <c r="P14" s="52" t="str">
        <f t="shared" si="6"/>
        <v>0</v>
      </c>
      <c r="Q14" s="53">
        <f t="shared" si="7"/>
        <v>0</v>
      </c>
      <c r="R14" s="30">
        <f t="shared" si="8"/>
        <v>0</v>
      </c>
      <c r="S14" s="98"/>
      <c r="T14" s="98"/>
      <c r="U14" s="29"/>
      <c r="V14" s="29"/>
      <c r="W14" s="29"/>
      <c r="X14" s="74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</row>
    <row r="15" spans="1:45" x14ac:dyDescent="0.3">
      <c r="A15" s="7">
        <f t="shared" si="2"/>
        <v>50</v>
      </c>
      <c r="B15" s="8">
        <f t="shared" si="9"/>
        <v>46363</v>
      </c>
      <c r="C15" s="9" t="str" cm="1">
        <f t="array" ref="C15">_xlfn.XLOOKUP(E15,Masterdata!$B$31:$B$44,Masterdata!$A$31:$A$44,_xlfn.SWITCH(WEEKDAY($D15, 2), 1, "mandag", 2, "tirsdag", 3, "onsdag", 4, "torsdag", 5, "fredag", 6, "lørdag", 7, "søndag"),0)</f>
        <v>mandag</v>
      </c>
      <c r="D15" s="29">
        <f t="shared" si="0"/>
        <v>2</v>
      </c>
      <c r="E15" s="70">
        <f t="shared" si="3"/>
        <v>46363</v>
      </c>
      <c r="F15" s="10" t="s">
        <v>23</v>
      </c>
      <c r="G15" s="12">
        <f>IF(OR(AND(F15="N",NOT(OR(C15="mandag",C15="tirsdag",C15="onsdag",C15="torsdag",C15="fredag"))),F15="F"),0,
        IF(OR(
            AND(Masterdata!$B$4&lt;&gt;DATE(1900,1,0), Masterdata!$B$4&lt;$E15),
            AND(Masterdata!$B$3&lt;&gt;DATE(1900,1,0), Masterdata!$B$3&gt;$E15)
        ),
        0, $X$7/(5-H15)))</f>
        <v>0.30833333333333335</v>
      </c>
      <c r="H15" s="86">
        <f>SUMPRODUCT(COUNTIFS(November!$A$9:$A$39,$A15,November!$D$9:$D$39,"&lt;7",November!$F$9:$F$39,"F")+COUNTIFS($A$9:$A$38,$A15,$D$9:$D$38,"&lt;7",$F$9:$F$38,"F"))</f>
        <v>0</v>
      </c>
      <c r="I15" s="11">
        <v>0</v>
      </c>
      <c r="J15" s="11">
        <v>0</v>
      </c>
      <c r="K15" s="11">
        <v>0</v>
      </c>
      <c r="L15" s="26" t="str">
        <f t="shared" si="1"/>
        <v>07:24</v>
      </c>
      <c r="M15" s="26" t="str">
        <f>IF(OR(F15="N",F15="F"),"0:00",
IF(
OR(
AND(Masterdata!$B$4&lt;&gt;DATE(1900,1,0),Masterdata!$B$4&lt;$E15),
AND(Masterdata!$B$3&lt;&gt;DATE(1900,1,0),Masterdata!$B$3&gt;$E15)
),"0:00",
IF(
$I15&gt;TIME(0,0,0),
IF(
NOT(OR($C15="mandag",$C15="tirsdag",$C15="onsdag",$C15="torsdag",$C15="fredag")),
TEXT($I15,"[tt]:mm"),
IF($I15-$G15&gt;=0,TEXT($I15-$G15,"[tt]:mm"),"-"&amp;TEXT(ABS($I15-$G15),"[tt]:mm"))
),
IF(
NOT(OR($C15="mandag",$C15="tirsdag",$C15="onsdag",$C15="torsdag",$C15="fredag")),
IF($K15-$J15&gt;=0,TEXT($K15-$J15,"[tt]:mm"),"-"&amp;TEXT(ABS($K15-$J15),"[tt]:mm")),
IF(
$K15-$J15-$G15&gt;=0,
TEXT($K15-$J15-$G15,"[tt]:mm"),
"-"&amp;TEXT(ABS($K15-$J15-$G15),"[tt]:mm")
)
)
)
))</f>
        <v>0:00</v>
      </c>
      <c r="N15" s="71" t="str">
        <f t="shared" si="4"/>
        <v>0</v>
      </c>
      <c r="O15" s="25" t="str">
        <f t="shared" si="5"/>
        <v>0:</v>
      </c>
      <c r="P15" s="52" t="str">
        <f t="shared" si="6"/>
        <v>0</v>
      </c>
      <c r="Q15" s="53">
        <f>P15/60</f>
        <v>0</v>
      </c>
      <c r="R15" s="30">
        <f>IF(N15="-",O15-Q15,O15+Q15)</f>
        <v>0</v>
      </c>
      <c r="S15" s="98"/>
      <c r="T15" s="98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</row>
    <row r="16" spans="1:45" x14ac:dyDescent="0.3">
      <c r="A16" s="7">
        <f t="shared" si="2"/>
        <v>50</v>
      </c>
      <c r="B16" s="8">
        <f t="shared" si="9"/>
        <v>46364</v>
      </c>
      <c r="C16" s="9" t="str" cm="1">
        <f t="array" ref="C16">_xlfn.XLOOKUP(E16,Masterdata!$B$31:$B$44,Masterdata!$A$31:$A$44,_xlfn.SWITCH(WEEKDAY($D16, 2), 1, "mandag", 2, "tirsdag", 3, "onsdag", 4, "torsdag", 5, "fredag", 6, "lørdag", 7, "søndag"),0)</f>
        <v>tirsdag</v>
      </c>
      <c r="D16" s="29">
        <f t="shared" si="0"/>
        <v>3</v>
      </c>
      <c r="E16" s="70">
        <f t="shared" si="3"/>
        <v>46364</v>
      </c>
      <c r="F16" s="10" t="s">
        <v>23</v>
      </c>
      <c r="G16" s="12">
        <f>IF(OR(AND(F16="N",NOT(OR(C16="mandag",C16="tirsdag",C16="onsdag",C16="torsdag",C16="fredag"))),F16="F"),0,
        IF(OR(
            AND(Masterdata!$B$4&lt;&gt;DATE(1900,1,0), Masterdata!$B$4&lt;$E16),
            AND(Masterdata!$B$3&lt;&gt;DATE(1900,1,0), Masterdata!$B$3&gt;$E16)
        ),
        0, $X$7/(5-H16)))</f>
        <v>0.30833333333333335</v>
      </c>
      <c r="H16" s="86">
        <f>SUMPRODUCT(COUNTIFS(November!$A$9:$A$39,$A16,November!$D$9:$D$39,"&lt;7",November!$F$9:$F$39,"F")+COUNTIFS($A$9:$A$38,$A16,$D$9:$D$38,"&lt;7",$F$9:$F$38,"F"))</f>
        <v>0</v>
      </c>
      <c r="I16" s="11">
        <v>0</v>
      </c>
      <c r="J16" s="11">
        <v>0</v>
      </c>
      <c r="K16" s="11">
        <v>0</v>
      </c>
      <c r="L16" s="26" t="str">
        <f>IF($F16="F","00:00",
IF($F16="N",TEXT($G16,"[tt]:mm"),
IF($I16&lt;&gt;0,TEXT($I16,"[tt]:mm"),
IF($K16-$J16&gt;=0,
TEXT($K16-$J16,"[tt]:mm"),
"-"&amp;TEXT(ABS($K16-$J16),"[tt]:mm")))))</f>
        <v>07:24</v>
      </c>
      <c r="M16" s="26" t="str">
        <f>IF(OR(F16="N",F16="F"),"0:00",
IF(
OR(
AND(Masterdata!$B$4&lt;&gt;DATE(1900,1,0),Masterdata!$B$4&lt;$E16),
AND(Masterdata!$B$3&lt;&gt;DATE(1900,1,0),Masterdata!$B$3&gt;$E16)
),"0:00",
IF(
$I16&gt;TIME(0,0,0),
IF(
NOT(OR($C16="mandag",$C16="tirsdag",$C16="onsdag",$C16="torsdag",$C16="fredag")),
TEXT($I16,"[tt]:mm"),
IF($I16-$G16&gt;=0,TEXT($I16-$G16,"[tt]:mm"),"-"&amp;TEXT(ABS($I16-$G16),"[tt]:mm"))
),
IF(
NOT(OR($C16="mandag",$C16="tirsdag",$C16="onsdag",$C16="torsdag",$C16="fredag")),
IF($K16-$J16&gt;=0,TEXT($K16-$J16,"[tt]:mm"),"-"&amp;TEXT(ABS($K16-$J16),"[tt]:mm")),
IF(
$K16-$J16-$G16&gt;=0,
TEXT($K16-$J16-$G16,"[tt]:mm"),
"-"&amp;TEXT(ABS($K16-$J16-$G16),"[tt]:mm")
)
)
)
))</f>
        <v>0:00</v>
      </c>
      <c r="N16" s="71" t="str">
        <f t="shared" si="4"/>
        <v>0</v>
      </c>
      <c r="O16" s="25" t="str">
        <f t="shared" si="5"/>
        <v>0:</v>
      </c>
      <c r="P16" s="52" t="str">
        <f t="shared" si="6"/>
        <v>0</v>
      </c>
      <c r="Q16" s="53">
        <f t="shared" ref="Q16:Q33" si="10">P16/60</f>
        <v>0</v>
      </c>
      <c r="R16" s="30">
        <f t="shared" ref="R16:R20" si="11">IF(N16="-",O16-Q16,O16+Q16)</f>
        <v>0</v>
      </c>
      <c r="S16" s="98"/>
      <c r="T16" s="98"/>
      <c r="U16" s="29" t="s">
        <v>46</v>
      </c>
      <c r="V16" s="29" t="s">
        <v>47</v>
      </c>
      <c r="W16" s="29" t="s">
        <v>48</v>
      </c>
      <c r="X16" s="30">
        <f>X11-X14</f>
        <v>160.33000000000001</v>
      </c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</row>
    <row r="17" spans="1:45" x14ac:dyDescent="0.3">
      <c r="A17" s="7">
        <f t="shared" si="2"/>
        <v>50</v>
      </c>
      <c r="B17" s="8">
        <f t="shared" si="9"/>
        <v>46365</v>
      </c>
      <c r="C17" s="9" t="str" cm="1">
        <f t="array" ref="C17">_xlfn.XLOOKUP(E17,Masterdata!$B$31:$B$44,Masterdata!$A$31:$A$44,_xlfn.SWITCH(WEEKDAY($D17, 2), 1, "mandag", 2, "tirsdag", 3, "onsdag", 4, "torsdag", 5, "fredag", 6, "lørdag", 7, "søndag"),0)</f>
        <v>onsdag</v>
      </c>
      <c r="D17" s="29">
        <f t="shared" si="0"/>
        <v>4</v>
      </c>
      <c r="E17" s="70">
        <f t="shared" si="3"/>
        <v>46365</v>
      </c>
      <c r="F17" s="10" t="s">
        <v>23</v>
      </c>
      <c r="G17" s="12">
        <f>IF(OR(AND(F17="N",NOT(OR(C17="mandag",C17="tirsdag",C17="onsdag",C17="torsdag",C17="fredag"))),F17="F"),0,
        IF(OR(
            AND(Masterdata!$B$4&lt;&gt;DATE(1900,1,0), Masterdata!$B$4&lt;$E17),
            AND(Masterdata!$B$3&lt;&gt;DATE(1900,1,0), Masterdata!$B$3&gt;$E17)
        ),
        0, $X$7/(5-H17)))</f>
        <v>0.30833333333333335</v>
      </c>
      <c r="H17" s="86">
        <f>SUMPRODUCT(COUNTIFS(November!$A$9:$A$39,$A17,November!$D$9:$D$39,"&lt;7",November!$F$9:$F$39,"F")+COUNTIFS($A$9:$A$38,$A17,$D$9:$D$38,"&lt;7",$F$9:$F$38,"F"))</f>
        <v>0</v>
      </c>
      <c r="I17" s="11">
        <v>0</v>
      </c>
      <c r="J17" s="11">
        <v>0</v>
      </c>
      <c r="K17" s="11">
        <v>0</v>
      </c>
      <c r="L17" s="26" t="str">
        <f t="shared" ref="L17:L39" si="12">IF($F17="F","00:00",
IF($F17="N",TEXT($G17,"[tt]:mm"),
IF($I17&lt;&gt;0,TEXT($I17,"[tt]:mm"),
IF($K17-$J17&gt;=0,
TEXT($K17-$J17,"[tt]:mm"),
"-"&amp;TEXT(ABS($K17-$J17),"[tt]:mm")))))</f>
        <v>07:24</v>
      </c>
      <c r="M17" s="26" t="str">
        <f>IF(OR(F17="N",F17="F"),"0:00",
IF(
OR(
AND(Masterdata!$B$4&lt;&gt;DATE(1900,1,0),Masterdata!$B$4&lt;$E17),
AND(Masterdata!$B$3&lt;&gt;DATE(1900,1,0),Masterdata!$B$3&gt;$E17)
),"0:00",
IF(
$I17&gt;TIME(0,0,0),
IF(
NOT(OR($C17="mandag",$C17="tirsdag",$C17="onsdag",$C17="torsdag",$C17="fredag")),
TEXT($I17,"[tt]:mm"),
IF($I17-$G17&gt;=0,TEXT($I17-$G17,"[tt]:mm"),"-"&amp;TEXT(ABS($I17-$G17),"[tt]:mm"))
),
IF(
NOT(OR($C17="mandag",$C17="tirsdag",$C17="onsdag",$C17="torsdag",$C17="fredag")),
IF($K17-$J17&gt;=0,TEXT($K17-$J17,"[tt]:mm"),"-"&amp;TEXT(ABS($K17-$J17),"[tt]:mm")),
IF(
$K17-$J17-$G17&gt;=0,
TEXT($K17-$J17-$G17,"[tt]:mm"),
"-"&amp;TEXT(ABS($K17-$J17-$G17),"[tt]:mm")
)
)
)
))</f>
        <v>0:00</v>
      </c>
      <c r="N17" s="71" t="str">
        <f t="shared" si="4"/>
        <v>0</v>
      </c>
      <c r="O17" s="25" t="str">
        <f t="shared" si="5"/>
        <v>0:</v>
      </c>
      <c r="P17" s="52" t="str">
        <f t="shared" si="6"/>
        <v>0</v>
      </c>
      <c r="Q17" s="53">
        <f t="shared" si="10"/>
        <v>0</v>
      </c>
      <c r="R17" s="30">
        <f t="shared" si="11"/>
        <v>0</v>
      </c>
      <c r="S17" s="98"/>
      <c r="T17" s="98"/>
      <c r="U17" s="29" t="s">
        <v>49</v>
      </c>
      <c r="V17" s="29" t="s">
        <v>50</v>
      </c>
      <c r="W17" s="29" t="s">
        <v>51</v>
      </c>
      <c r="X17" s="30" t="e">
        <f>SUM(#REF!)</f>
        <v>#REF!</v>
      </c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</row>
    <row r="18" spans="1:45" x14ac:dyDescent="0.3">
      <c r="A18" s="7">
        <f t="shared" si="2"/>
        <v>50</v>
      </c>
      <c r="B18" s="8">
        <f t="shared" si="9"/>
        <v>46366</v>
      </c>
      <c r="C18" s="9" t="str" cm="1">
        <f t="array" ref="C18">_xlfn.XLOOKUP(E18,Masterdata!$B$31:$B$44,Masterdata!$A$31:$A$44,_xlfn.SWITCH(WEEKDAY($D18, 2), 1, "mandag", 2, "tirsdag", 3, "onsdag", 4, "torsdag", 5, "fredag", 6, "lørdag", 7, "søndag"),0)</f>
        <v>torsdag</v>
      </c>
      <c r="D18" s="29">
        <f t="shared" si="0"/>
        <v>5</v>
      </c>
      <c r="E18" s="70">
        <f t="shared" si="3"/>
        <v>46366</v>
      </c>
      <c r="F18" s="10" t="s">
        <v>23</v>
      </c>
      <c r="G18" s="12">
        <f>IF(OR(AND(F18="N",NOT(OR(C18="mandag",C18="tirsdag",C18="onsdag",C18="torsdag",C18="fredag"))),F18="F"),0,
        IF(OR(
            AND(Masterdata!$B$4&lt;&gt;DATE(1900,1,0), Masterdata!$B$4&lt;$E18),
            AND(Masterdata!$B$3&lt;&gt;DATE(1900,1,0), Masterdata!$B$3&gt;$E18)
        ),
        0, $X$7/(5-H18)))</f>
        <v>0.30833333333333335</v>
      </c>
      <c r="H18" s="86">
        <f>SUMPRODUCT(COUNTIFS(November!$A$9:$A$39,$A18,November!$D$9:$D$39,"&lt;7",November!$F$9:$F$39,"F")+COUNTIFS($A$9:$A$38,$A18,$D$9:$D$38,"&lt;7",$F$9:$F$38,"F"))</f>
        <v>0</v>
      </c>
      <c r="I18" s="11">
        <v>0</v>
      </c>
      <c r="J18" s="11">
        <v>0</v>
      </c>
      <c r="K18" s="11">
        <v>0</v>
      </c>
      <c r="L18" s="26" t="str">
        <f t="shared" si="12"/>
        <v>07:24</v>
      </c>
      <c r="M18" s="26" t="str">
        <f>IF(OR(F18="N",F18="F"),"0:00",
IF(
OR(
AND(Masterdata!$B$4&lt;&gt;DATE(1900,1,0),Masterdata!$B$4&lt;$E18),
AND(Masterdata!$B$3&lt;&gt;DATE(1900,1,0),Masterdata!$B$3&gt;$E18)
),"0:00",
IF(
$I18&gt;TIME(0,0,0),
IF(
NOT(OR($C18="mandag",$C18="tirsdag",$C18="onsdag",$C18="torsdag",$C18="fredag")),
TEXT($I18,"[tt]:mm"),
IF($I18-$G18&gt;=0,TEXT($I18-$G18,"[tt]:mm"),"-"&amp;TEXT(ABS($I18-$G18),"[tt]:mm"))
),
IF(
NOT(OR($C18="mandag",$C18="tirsdag",$C18="onsdag",$C18="torsdag",$C18="fredag")),
IF($K18-$J18&gt;=0,TEXT($K18-$J18,"[tt]:mm"),"-"&amp;TEXT(ABS($K18-$J18),"[tt]:mm")),
IF(
$K18-$J18-$G18&gt;=0,
TEXT($K18-$J18-$G18,"[tt]:mm"),
"-"&amp;TEXT(ABS($K18-$J18-$G18),"[tt]:mm")
)
)
)
))</f>
        <v>0:00</v>
      </c>
      <c r="N18" s="71" t="str">
        <f t="shared" si="4"/>
        <v>0</v>
      </c>
      <c r="O18" s="25" t="str">
        <f t="shared" si="5"/>
        <v>0:</v>
      </c>
      <c r="P18" s="52" t="str">
        <f t="shared" si="6"/>
        <v>0</v>
      </c>
      <c r="Q18" s="53">
        <f t="shared" si="10"/>
        <v>0</v>
      </c>
      <c r="R18" s="30">
        <f t="shared" si="11"/>
        <v>0</v>
      </c>
      <c r="S18" s="98"/>
      <c r="T18" s="98"/>
      <c r="U18" s="29" t="s">
        <v>25</v>
      </c>
      <c r="V18" s="29" t="s">
        <v>52</v>
      </c>
      <c r="W18" s="29" t="s">
        <v>53</v>
      </c>
      <c r="X18" s="30" t="e">
        <f>X16-X17</f>
        <v>#REF!</v>
      </c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</row>
    <row r="19" spans="1:45" x14ac:dyDescent="0.3">
      <c r="A19" s="7">
        <f t="shared" si="2"/>
        <v>50</v>
      </c>
      <c r="B19" s="8">
        <f t="shared" si="9"/>
        <v>46367</v>
      </c>
      <c r="C19" s="9" t="str" cm="1">
        <f t="array" ref="C19">_xlfn.XLOOKUP(E19,Masterdata!$B$31:$B$44,Masterdata!$A$31:$A$44,_xlfn.SWITCH(WEEKDAY($D19, 2), 1, "mandag", 2, "tirsdag", 3, "onsdag", 4, "torsdag", 5, "fredag", 6, "lørdag", 7, "søndag"),0)</f>
        <v>fredag</v>
      </c>
      <c r="D19" s="29">
        <f t="shared" si="0"/>
        <v>6</v>
      </c>
      <c r="E19" s="70">
        <f t="shared" si="3"/>
        <v>46367</v>
      </c>
      <c r="F19" s="10" t="s">
        <v>23</v>
      </c>
      <c r="G19" s="12">
        <f>IF(OR(AND(F19="N",NOT(OR(C19="mandag",C19="tirsdag",C19="onsdag",C19="torsdag",C19="fredag"))),F19="F"),0,
        IF(OR(
            AND(Masterdata!$B$4&lt;&gt;DATE(1900,1,0), Masterdata!$B$4&lt;$E19),
            AND(Masterdata!$B$3&lt;&gt;DATE(1900,1,0), Masterdata!$B$3&gt;$E19)
        ),
        0, $X$7/(5-H19)))</f>
        <v>0.30833333333333335</v>
      </c>
      <c r="H19" s="86">
        <f>SUMPRODUCT(COUNTIFS(November!$A$9:$A$39,$A19,November!$D$9:$D$39,"&lt;7",November!$F$9:$F$39,"F")+COUNTIFS($A$9:$A$38,$A19,$D$9:$D$38,"&lt;7",$F$9:$F$38,"F"))</f>
        <v>0</v>
      </c>
      <c r="I19" s="11">
        <v>0</v>
      </c>
      <c r="J19" s="11">
        <v>0</v>
      </c>
      <c r="K19" s="11">
        <v>0</v>
      </c>
      <c r="L19" s="26" t="str">
        <f t="shared" si="12"/>
        <v>07:24</v>
      </c>
      <c r="M19" s="26" t="str">
        <f>IF(OR(F19="N",F19="F"),"0:00",
IF(
OR(
AND(Masterdata!$B$4&lt;&gt;DATE(1900,1,0),Masterdata!$B$4&lt;$E19),
AND(Masterdata!$B$3&lt;&gt;DATE(1900,1,0),Masterdata!$B$3&gt;$E19)
),"0:00",
IF(
$I19&gt;TIME(0,0,0),
IF(
NOT(OR($C19="mandag",$C19="tirsdag",$C19="onsdag",$C19="torsdag",$C19="fredag")),
TEXT($I19,"[tt]:mm"),
IF($I19-$G19&gt;=0,TEXT($I19-$G19,"[tt]:mm"),"-"&amp;TEXT(ABS($I19-$G19),"[tt]:mm"))
),
IF(
NOT(OR($C19="mandag",$C19="tirsdag",$C19="onsdag",$C19="torsdag",$C19="fredag")),
IF($K19-$J19&gt;=0,TEXT($K19-$J19,"[tt]:mm"),"-"&amp;TEXT(ABS($K19-$J19),"[tt]:mm")),
IF(
$K19-$J19-$G19&gt;=0,
TEXT($K19-$J19-$G19,"[tt]:mm"),
"-"&amp;TEXT(ABS($K19-$J19-$G19),"[tt]:mm")
)
)
)
))</f>
        <v>0:00</v>
      </c>
      <c r="N19" s="71" t="str">
        <f t="shared" si="4"/>
        <v>0</v>
      </c>
      <c r="O19" s="25" t="str">
        <f t="shared" si="5"/>
        <v>0:</v>
      </c>
      <c r="P19" s="52" t="str">
        <f t="shared" si="6"/>
        <v>0</v>
      </c>
      <c r="Q19" s="53">
        <f t="shared" si="10"/>
        <v>0</v>
      </c>
      <c r="R19" s="30">
        <f t="shared" si="11"/>
        <v>0</v>
      </c>
      <c r="S19" s="98"/>
      <c r="T19" s="98"/>
      <c r="U19" s="29"/>
      <c r="V19" s="29"/>
      <c r="W19" s="70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</row>
    <row r="20" spans="1:45" x14ac:dyDescent="0.3">
      <c r="A20" s="7">
        <f t="shared" si="2"/>
        <v>50</v>
      </c>
      <c r="B20" s="8">
        <f t="shared" si="9"/>
        <v>46368</v>
      </c>
      <c r="C20" s="9" t="str" cm="1">
        <f t="array" ref="C20">_xlfn.XLOOKUP(E20,Masterdata!$B$31:$B$44,Masterdata!$A$31:$A$44,_xlfn.SWITCH(WEEKDAY($D20, 2), 1, "mandag", 2, "tirsdag", 3, "onsdag", 4, "torsdag", 5, "fredag", 6, "lørdag", 7, "søndag"),0)</f>
        <v>lørdag</v>
      </c>
      <c r="D20" s="29">
        <f t="shared" si="0"/>
        <v>7</v>
      </c>
      <c r="E20" s="70">
        <f t="shared" si="3"/>
        <v>46368</v>
      </c>
      <c r="F20" s="10" t="s">
        <v>23</v>
      </c>
      <c r="G20" s="12">
        <f>IF(OR(AND(F20="N",NOT(OR(C20="mandag",C20="tirsdag",C20="onsdag",C20="torsdag",C20="fredag"))),F20="F"),0,
        IF(OR(
            AND(Masterdata!$B$4&lt;&gt;DATE(1900,1,0), Masterdata!$B$4&lt;$E20),
            AND(Masterdata!$B$3&lt;&gt;DATE(1900,1,0), Masterdata!$B$3&gt;$E20)
        ),
        0, $X$7/(5-H20)))</f>
        <v>0</v>
      </c>
      <c r="H20" s="86">
        <f>SUMPRODUCT(COUNTIFS(November!$A$9:$A$39,$A20,November!$D$9:$D$39,"&lt;7",November!$F$9:$F$39,"F")+COUNTIFS($A$9:$A$38,$A20,$D$9:$D$38,"&lt;7",$F$9:$F$38,"F"))</f>
        <v>0</v>
      </c>
      <c r="I20" s="11">
        <v>0</v>
      </c>
      <c r="J20" s="11">
        <v>0</v>
      </c>
      <c r="K20" s="11">
        <v>0</v>
      </c>
      <c r="L20" s="26" t="str">
        <f t="shared" si="12"/>
        <v>00:00</v>
      </c>
      <c r="M20" s="26" t="str">
        <f>IF(OR(F20="N",F20="F"),"0:00",
IF(
OR(
AND(Masterdata!$B$4&lt;&gt;DATE(1900,1,0),Masterdata!$B$4&lt;$E20),
AND(Masterdata!$B$3&lt;&gt;DATE(1900,1,0),Masterdata!$B$3&gt;$E20)
),"0:00",
IF(
$I20&gt;TIME(0,0,0),
IF(
NOT(OR($C20="mandag",$C20="tirsdag",$C20="onsdag",$C20="torsdag",$C20="fredag")),
TEXT($I20,"[tt]:mm"),
IF($I20-$G20&gt;=0,TEXT($I20-$G20,"[tt]:mm"),"-"&amp;TEXT(ABS($I20-$G20),"[tt]:mm"))
),
IF(
NOT(OR($C20="mandag",$C20="tirsdag",$C20="onsdag",$C20="torsdag",$C20="fredag")),
IF($K20-$J20&gt;=0,TEXT($K20-$J20,"[tt]:mm"),"-"&amp;TEXT(ABS($K20-$J20),"[tt]:mm")),
IF(
$K20-$J20-$G20&gt;=0,
TEXT($K20-$J20-$G20,"[tt]:mm"),
"-"&amp;TEXT(ABS($K20-$J20-$G20),"[tt]:mm")
)
)
)
))</f>
        <v>0:00</v>
      </c>
      <c r="N20" s="71" t="str">
        <f t="shared" si="4"/>
        <v>0</v>
      </c>
      <c r="O20" s="25" t="str">
        <f t="shared" si="5"/>
        <v>0:</v>
      </c>
      <c r="P20" s="52" t="str">
        <f t="shared" si="6"/>
        <v>0</v>
      </c>
      <c r="Q20" s="53">
        <f t="shared" si="10"/>
        <v>0</v>
      </c>
      <c r="R20" s="30">
        <f t="shared" si="11"/>
        <v>0</v>
      </c>
      <c r="S20" s="98"/>
      <c r="T20" s="98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</row>
    <row r="21" spans="1:45" x14ac:dyDescent="0.3">
      <c r="A21" s="7">
        <f t="shared" si="2"/>
        <v>50</v>
      </c>
      <c r="B21" s="8">
        <f t="shared" si="9"/>
        <v>46369</v>
      </c>
      <c r="C21" s="9" t="str" cm="1">
        <f t="array" ref="C21">_xlfn.XLOOKUP(E21,Masterdata!$B$31:$B$44,Masterdata!$A$31:$A$44,_xlfn.SWITCH(WEEKDAY($D21, 2), 1, "mandag", 2, "tirsdag", 3, "onsdag", 4, "torsdag", 5, "fredag", 6, "lørdag", 7, "søndag"),0)</f>
        <v>søndag</v>
      </c>
      <c r="D21" s="29">
        <f t="shared" si="0"/>
        <v>8</v>
      </c>
      <c r="E21" s="70">
        <f t="shared" si="3"/>
        <v>46369</v>
      </c>
      <c r="F21" s="10" t="s">
        <v>23</v>
      </c>
      <c r="G21" s="12">
        <f>IF(OR(AND(F21="N",NOT(OR(C21="mandag",C21="tirsdag",C21="onsdag",C21="torsdag",C21="fredag"))),F21="F"),0,
        IF(OR(
            AND(Masterdata!$B$4&lt;&gt;DATE(1900,1,0), Masterdata!$B$4&lt;$E21),
            AND(Masterdata!$B$3&lt;&gt;DATE(1900,1,0), Masterdata!$B$3&gt;$E21)
        ),
        0, $X$7/(5-H21)))</f>
        <v>0</v>
      </c>
      <c r="H21" s="86">
        <f>SUMPRODUCT(COUNTIFS(November!$A$9:$A$39,$A21,November!$D$9:$D$39,"&lt;7",November!$F$9:$F$39,"F")+COUNTIFS($A$9:$A$38,$A21,$D$9:$D$38,"&lt;7",$F$9:$F$38,"F"))</f>
        <v>0</v>
      </c>
      <c r="I21" s="11">
        <v>0</v>
      </c>
      <c r="J21" s="11">
        <v>0</v>
      </c>
      <c r="K21" s="11">
        <v>0</v>
      </c>
      <c r="L21" s="26" t="str">
        <f t="shared" si="12"/>
        <v>00:00</v>
      </c>
      <c r="M21" s="26" t="str">
        <f>IF(OR(F21="N",F21="F"),"0:00",
IF(
OR(
AND(Masterdata!$B$4&lt;&gt;DATE(1900,1,0),Masterdata!$B$4&lt;$E21),
AND(Masterdata!$B$3&lt;&gt;DATE(1900,1,0),Masterdata!$B$3&gt;$E21)
),"0:00",
IF(
$I21&gt;TIME(0,0,0),
IF(
NOT(OR($C21="mandag",$C21="tirsdag",$C21="onsdag",$C21="torsdag",$C21="fredag")),
TEXT($I21,"[tt]:mm"),
IF($I21-$G21&gt;=0,TEXT($I21-$G21,"[tt]:mm"),"-"&amp;TEXT(ABS($I21-$G21),"[tt]:mm"))
),
IF(
NOT(OR($C21="mandag",$C21="tirsdag",$C21="onsdag",$C21="torsdag",$C21="fredag")),
IF($K21-$J21&gt;=0,TEXT($K21-$J21,"[tt]:mm"),"-"&amp;TEXT(ABS($K21-$J21),"[tt]:mm")),
IF(
$K21-$J21-$G21&gt;=0,
TEXT($K21-$J21-$G21,"[tt]:mm"),
"-"&amp;TEXT(ABS($K21-$J21-$G21),"[tt]:mm")
)
)
)
))</f>
        <v>0:00</v>
      </c>
      <c r="N21" s="71" t="str">
        <f>LEFT(M21,1)</f>
        <v>0</v>
      </c>
      <c r="O21" s="25" t="str">
        <f t="shared" si="5"/>
        <v>0:</v>
      </c>
      <c r="P21" s="52" t="str">
        <f t="shared" si="6"/>
        <v>0</v>
      </c>
      <c r="Q21" s="53">
        <f t="shared" si="10"/>
        <v>0</v>
      </c>
      <c r="R21" s="30">
        <f>IF(N21="-",O21-Q21,O21+Q21)</f>
        <v>0</v>
      </c>
      <c r="S21" s="98"/>
      <c r="T21" s="98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</row>
    <row r="22" spans="1:45" x14ac:dyDescent="0.3">
      <c r="A22" s="7">
        <f t="shared" si="2"/>
        <v>51</v>
      </c>
      <c r="B22" s="8">
        <f t="shared" si="9"/>
        <v>46370</v>
      </c>
      <c r="C22" s="9" t="str" cm="1">
        <f t="array" ref="C22">_xlfn.XLOOKUP(E22,Masterdata!$B$31:$B$44,Masterdata!$A$31:$A$44,_xlfn.SWITCH(WEEKDAY($D22, 2), 1, "mandag", 2, "tirsdag", 3, "onsdag", 4, "torsdag", 5, "fredag", 6, "lørdag", 7, "søndag"),0)</f>
        <v>mandag</v>
      </c>
      <c r="D22" s="29">
        <f t="shared" si="0"/>
        <v>2</v>
      </c>
      <c r="E22" s="70">
        <f t="shared" si="3"/>
        <v>46370</v>
      </c>
      <c r="F22" s="10" t="s">
        <v>23</v>
      </c>
      <c r="G22" s="12">
        <f>IF(OR(AND(F22="N",NOT(OR(C22="mandag",C22="tirsdag",C22="onsdag",C22="torsdag",C22="fredag"))),F22="F"),0,
        IF(OR(
            AND(Masterdata!$B$4&lt;&gt;DATE(1900,1,0), Masterdata!$B$4&lt;$E22),
            AND(Masterdata!$B$3&lt;&gt;DATE(1900,1,0), Masterdata!$B$3&gt;$E22)
        ),
        0, $X$7/(5-H22)))</f>
        <v>0.30833333333333335</v>
      </c>
      <c r="H22" s="86">
        <f>SUMPRODUCT(COUNTIFS(November!$A$9:$A$39,$A22,November!$D$9:$D$39,"&lt;7",November!$F$9:$F$39,"F")+COUNTIFS($A$9:$A$38,$A22,$D$9:$D$38,"&lt;7",$F$9:$F$38,"F"))</f>
        <v>0</v>
      </c>
      <c r="I22" s="11">
        <v>0</v>
      </c>
      <c r="J22" s="11">
        <v>0</v>
      </c>
      <c r="K22" s="11">
        <v>0</v>
      </c>
      <c r="L22" s="26" t="str">
        <f t="shared" si="12"/>
        <v>07:24</v>
      </c>
      <c r="M22" s="26" t="str">
        <f>IF(OR(F22="N",F22="F"),"0:00",
IF(
OR(
AND(Masterdata!$B$4&lt;&gt;DATE(1900,1,0),Masterdata!$B$4&lt;$E22),
AND(Masterdata!$B$3&lt;&gt;DATE(1900,1,0),Masterdata!$B$3&gt;$E22)
),"0:00",
IF(
$I22&gt;TIME(0,0,0),
IF(
NOT(OR($C22="mandag",$C22="tirsdag",$C22="onsdag",$C22="torsdag",$C22="fredag")),
TEXT($I22,"[tt]:mm"),
IF($I22-$G22&gt;=0,TEXT($I22-$G22,"[tt]:mm"),"-"&amp;TEXT(ABS($I22-$G22),"[tt]:mm"))
),
IF(
NOT(OR($C22="mandag",$C22="tirsdag",$C22="onsdag",$C22="torsdag",$C22="fredag")),
IF($K22-$J22&gt;=0,TEXT($K22-$J22,"[tt]:mm"),"-"&amp;TEXT(ABS($K22-$J22),"[tt]:mm")),
IF(
$K22-$J22-$G22&gt;=0,
TEXT($K22-$J22-$G22,"[tt]:mm"),
"-"&amp;TEXT(ABS($K22-$J22-$G22),"[tt]:mm")
)
)
)
))</f>
        <v>0:00</v>
      </c>
      <c r="N22" s="71" t="str">
        <f t="shared" ref="N22:N33" si="13">LEFT(M22,1)</f>
        <v>0</v>
      </c>
      <c r="O22" s="25" t="str">
        <f t="shared" si="5"/>
        <v>0:</v>
      </c>
      <c r="P22" s="52" t="str">
        <f t="shared" si="6"/>
        <v>0</v>
      </c>
      <c r="Q22" s="53">
        <f t="shared" si="10"/>
        <v>0</v>
      </c>
      <c r="R22" s="30">
        <f t="shared" ref="R22:R33" si="14">IF(N22="-",O22-Q22,O22+Q22)</f>
        <v>0</v>
      </c>
      <c r="S22" s="98"/>
      <c r="T22" s="98"/>
      <c r="U22" s="29"/>
      <c r="V22" s="29"/>
      <c r="W22" s="29" t="s">
        <v>124</v>
      </c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</row>
    <row r="23" spans="1:45" x14ac:dyDescent="0.3">
      <c r="A23" s="7">
        <f t="shared" si="2"/>
        <v>51</v>
      </c>
      <c r="B23" s="8">
        <f t="shared" si="9"/>
        <v>46371</v>
      </c>
      <c r="C23" s="9" t="str" cm="1">
        <f t="array" ref="C23">_xlfn.XLOOKUP(E23,Masterdata!$B$31:$B$44,Masterdata!$A$31:$A$44,_xlfn.SWITCH(WEEKDAY($D23, 2), 1, "mandag", 2, "tirsdag", 3, "onsdag", 4, "torsdag", 5, "fredag", 6, "lørdag", 7, "søndag"),0)</f>
        <v>tirsdag</v>
      </c>
      <c r="D23" s="29">
        <f t="shared" si="0"/>
        <v>3</v>
      </c>
      <c r="E23" s="70">
        <f t="shared" si="3"/>
        <v>46371</v>
      </c>
      <c r="F23" s="10" t="s">
        <v>23</v>
      </c>
      <c r="G23" s="12">
        <f>IF(OR(AND(F23="N",NOT(OR(C23="mandag",C23="tirsdag",C23="onsdag",C23="torsdag",C23="fredag"))),F23="F"),0,
        IF(OR(
            AND(Masterdata!$B$4&lt;&gt;DATE(1900,1,0), Masterdata!$B$4&lt;$E23),
            AND(Masterdata!$B$3&lt;&gt;DATE(1900,1,0), Masterdata!$B$3&gt;$E23)
        ),
        0, $X$7/(5-H23)))</f>
        <v>0.30833333333333335</v>
      </c>
      <c r="H23" s="86">
        <f>SUMPRODUCT(COUNTIFS(November!$A$9:$A$39,$A23,November!$D$9:$D$39,"&lt;7",November!$F$9:$F$39,"F")+COUNTIFS($A$9:$A$38,$A23,$D$9:$D$38,"&lt;7",$F$9:$F$38,"F"))</f>
        <v>0</v>
      </c>
      <c r="I23" s="11">
        <v>0</v>
      </c>
      <c r="J23" s="11">
        <v>0</v>
      </c>
      <c r="K23" s="11">
        <v>0</v>
      </c>
      <c r="L23" s="26" t="str">
        <f t="shared" si="12"/>
        <v>07:24</v>
      </c>
      <c r="M23" s="26" t="str">
        <f>IF(OR(F23="N",F23="F"),"0:00",
IF(
OR(
AND(Masterdata!$B$4&lt;&gt;DATE(1900,1,0),Masterdata!$B$4&lt;$E23),
AND(Masterdata!$B$3&lt;&gt;DATE(1900,1,0),Masterdata!$B$3&gt;$E23)
),"0:00",
IF(
$I23&gt;TIME(0,0,0),
IF(
NOT(OR($C23="mandag",$C23="tirsdag",$C23="onsdag",$C23="torsdag",$C23="fredag")),
TEXT($I23,"[tt]:mm"),
IF($I23-$G23&gt;=0,TEXT($I23-$G23,"[tt]:mm"),"-"&amp;TEXT(ABS($I23-$G23),"[tt]:mm"))
),
IF(
NOT(OR($C23="mandag",$C23="tirsdag",$C23="onsdag",$C23="torsdag",$C23="fredag")),
IF($K23-$J23&gt;=0,TEXT($K23-$J23,"[tt]:mm"),"-"&amp;TEXT(ABS($K23-$J23),"[tt]:mm")),
IF(
$K23-$J23-$G23&gt;=0,
TEXT($K23-$J23-$G23,"[tt]:mm"),
"-"&amp;TEXT(ABS($K23-$J23-$G23),"[tt]:mm")
)
)
)
))</f>
        <v>0:00</v>
      </c>
      <c r="N23" s="71" t="str">
        <f t="shared" si="13"/>
        <v>0</v>
      </c>
      <c r="O23" s="25" t="str">
        <f t="shared" si="5"/>
        <v>0:</v>
      </c>
      <c r="P23" s="52" t="str">
        <f t="shared" si="6"/>
        <v>0</v>
      </c>
      <c r="Q23" s="53">
        <f t="shared" si="10"/>
        <v>0</v>
      </c>
      <c r="R23" s="30">
        <f t="shared" si="14"/>
        <v>0</v>
      </c>
      <c r="S23" s="98"/>
      <c r="T23" s="98"/>
      <c r="U23" s="29"/>
      <c r="V23" s="29"/>
      <c r="W23" s="29" t="s">
        <v>125</v>
      </c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</row>
    <row r="24" spans="1:45" x14ac:dyDescent="0.3">
      <c r="A24" s="7">
        <f t="shared" si="2"/>
        <v>51</v>
      </c>
      <c r="B24" s="8">
        <f t="shared" si="9"/>
        <v>46372</v>
      </c>
      <c r="C24" s="9" t="str" cm="1">
        <f t="array" ref="C24">_xlfn.XLOOKUP(E24,Masterdata!$B$31:$B$44,Masterdata!$A$31:$A$44,_xlfn.SWITCH(WEEKDAY($D24, 2), 1, "mandag", 2, "tirsdag", 3, "onsdag", 4, "torsdag", 5, "fredag", 6, "lørdag", 7, "søndag"),0)</f>
        <v>onsdag</v>
      </c>
      <c r="D24" s="29">
        <f t="shared" si="0"/>
        <v>4</v>
      </c>
      <c r="E24" s="70">
        <f t="shared" si="3"/>
        <v>46372</v>
      </c>
      <c r="F24" s="10" t="s">
        <v>23</v>
      </c>
      <c r="G24" s="12">
        <f>IF(OR(AND(F24="N",NOT(OR(C24="mandag",C24="tirsdag",C24="onsdag",C24="torsdag",C24="fredag"))),F24="F"),0,
        IF(OR(
            AND(Masterdata!$B$4&lt;&gt;DATE(1900,1,0), Masterdata!$B$4&lt;$E24),
            AND(Masterdata!$B$3&lt;&gt;DATE(1900,1,0), Masterdata!$B$3&gt;$E24)
        ),
        0, $X$7/(5-H24)))</f>
        <v>0.30833333333333335</v>
      </c>
      <c r="H24" s="86">
        <f>SUMPRODUCT(COUNTIFS(November!$A$9:$A$39,$A24,November!$D$9:$D$39,"&lt;7",November!$F$9:$F$39,"F")+COUNTIFS($A$9:$A$38,$A24,$D$9:$D$38,"&lt;7",$F$9:$F$38,"F"))</f>
        <v>0</v>
      </c>
      <c r="I24" s="11">
        <v>0</v>
      </c>
      <c r="J24" s="11">
        <v>0</v>
      </c>
      <c r="K24" s="11">
        <v>0</v>
      </c>
      <c r="L24" s="26" t="str">
        <f t="shared" si="12"/>
        <v>07:24</v>
      </c>
      <c r="M24" s="26" t="str">
        <f>IF(OR(F24="N",F24="F"),"0:00",
IF(
OR(
AND(Masterdata!$B$4&lt;&gt;DATE(1900,1,0),Masterdata!$B$4&lt;$E24),
AND(Masterdata!$B$3&lt;&gt;DATE(1900,1,0),Masterdata!$B$3&gt;$E24)
),"0:00",
IF(
$I24&gt;TIME(0,0,0),
IF(
NOT(OR($C24="mandag",$C24="tirsdag",$C24="onsdag",$C24="torsdag",$C24="fredag")),
TEXT($I24,"[tt]:mm"),
IF($I24-$G24&gt;=0,TEXT($I24-$G24,"[tt]:mm"),"-"&amp;TEXT(ABS($I24-$G24),"[tt]:mm"))
),
IF(
NOT(OR($C24="mandag",$C24="tirsdag",$C24="onsdag",$C24="torsdag",$C24="fredag")),
IF($K24-$J24&gt;=0,TEXT($K24-$J24,"[tt]:mm"),"-"&amp;TEXT(ABS($K24-$J24),"[tt]:mm")),
IF(
$K24-$J24-$G24&gt;=0,
TEXT($K24-$J24-$G24,"[tt]:mm"),
"-"&amp;TEXT(ABS($K24-$J24-$G24),"[tt]:mm")
)
)
)
))</f>
        <v>0:00</v>
      </c>
      <c r="N24" s="71" t="str">
        <f t="shared" si="13"/>
        <v>0</v>
      </c>
      <c r="O24" s="25" t="str">
        <f t="shared" si="5"/>
        <v>0:</v>
      </c>
      <c r="P24" s="52" t="str">
        <f t="shared" si="6"/>
        <v>0</v>
      </c>
      <c r="Q24" s="53">
        <f t="shared" si="10"/>
        <v>0</v>
      </c>
      <c r="R24" s="30">
        <f t="shared" si="14"/>
        <v>0</v>
      </c>
      <c r="S24" s="98"/>
      <c r="T24" s="98"/>
      <c r="U24" s="29"/>
      <c r="V24" s="29"/>
      <c r="W24" s="29" t="s">
        <v>126</v>
      </c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</row>
    <row r="25" spans="1:45" x14ac:dyDescent="0.3">
      <c r="A25" s="7">
        <f t="shared" si="2"/>
        <v>51</v>
      </c>
      <c r="B25" s="8">
        <f t="shared" si="9"/>
        <v>46373</v>
      </c>
      <c r="C25" s="9" t="str" cm="1">
        <f t="array" ref="C25">_xlfn.XLOOKUP(E25,Masterdata!$B$31:$B$44,Masterdata!$A$31:$A$44,_xlfn.SWITCH(WEEKDAY($D25, 2), 1, "mandag", 2, "tirsdag", 3, "onsdag", 4, "torsdag", 5, "fredag", 6, "lørdag", 7, "søndag"),0)</f>
        <v>torsdag</v>
      </c>
      <c r="D25" s="29">
        <f t="shared" si="0"/>
        <v>5</v>
      </c>
      <c r="E25" s="70">
        <f t="shared" si="3"/>
        <v>46373</v>
      </c>
      <c r="F25" s="10" t="s">
        <v>23</v>
      </c>
      <c r="G25" s="12">
        <f>IF(OR(AND(F25="N",NOT(OR(C25="mandag",C25="tirsdag",C25="onsdag",C25="torsdag",C25="fredag"))),F25="F"),0,
        IF(OR(
            AND(Masterdata!$B$4&lt;&gt;DATE(1900,1,0), Masterdata!$B$4&lt;$E25),
            AND(Masterdata!$B$3&lt;&gt;DATE(1900,1,0), Masterdata!$B$3&gt;$E25)
        ),
        0, $X$7/(5-H25)))</f>
        <v>0.30833333333333335</v>
      </c>
      <c r="H25" s="86">
        <f>SUMPRODUCT(COUNTIFS(November!$A$9:$A$39,$A25,November!$D$9:$D$39,"&lt;7",November!$F$9:$F$39,"F")+COUNTIFS($A$9:$A$38,$A25,$D$9:$D$38,"&lt;7",$F$9:$F$38,"F"))</f>
        <v>0</v>
      </c>
      <c r="I25" s="11">
        <v>0</v>
      </c>
      <c r="J25" s="11">
        <v>0</v>
      </c>
      <c r="K25" s="11">
        <v>0</v>
      </c>
      <c r="L25" s="26" t="str">
        <f t="shared" si="12"/>
        <v>07:24</v>
      </c>
      <c r="M25" s="26" t="str">
        <f>IF(OR(F25="N",F25="F"),"0:00",
IF(
OR(
AND(Masterdata!$B$4&lt;&gt;DATE(1900,1,0),Masterdata!$B$4&lt;$E25),
AND(Masterdata!$B$3&lt;&gt;DATE(1900,1,0),Masterdata!$B$3&gt;$E25)
),"0:00",
IF(
$I25&gt;TIME(0,0,0),
IF(
NOT(OR($C25="mandag",$C25="tirsdag",$C25="onsdag",$C25="torsdag",$C25="fredag")),
TEXT($I25,"[tt]:mm"),
IF($I25-$G25&gt;=0,TEXT($I25-$G25,"[tt]:mm"),"-"&amp;TEXT(ABS($I25-$G25),"[tt]:mm"))
),
IF(
NOT(OR($C25="mandag",$C25="tirsdag",$C25="onsdag",$C25="torsdag",$C25="fredag")),
IF($K25-$J25&gt;=0,TEXT($K25-$J25,"[tt]:mm"),"-"&amp;TEXT(ABS($K25-$J25),"[tt]:mm")),
IF(
$K25-$J25-$G25&gt;=0,
TEXT($K25-$J25-$G25,"[tt]:mm"),
"-"&amp;TEXT(ABS($K25-$J25-$G25),"[tt]:mm")
)
)
)
))</f>
        <v>0:00</v>
      </c>
      <c r="N25" s="71" t="str">
        <f t="shared" si="13"/>
        <v>0</v>
      </c>
      <c r="O25" s="25" t="str">
        <f t="shared" si="5"/>
        <v>0:</v>
      </c>
      <c r="P25" s="52" t="str">
        <f t="shared" si="6"/>
        <v>0</v>
      </c>
      <c r="Q25" s="53">
        <f t="shared" si="10"/>
        <v>0</v>
      </c>
      <c r="R25" s="30">
        <f t="shared" si="14"/>
        <v>0</v>
      </c>
      <c r="S25" s="98"/>
      <c r="T25" s="98"/>
      <c r="U25" s="29"/>
      <c r="V25" s="29"/>
      <c r="W25" s="29" t="s">
        <v>127</v>
      </c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</row>
    <row r="26" spans="1:45" x14ac:dyDescent="0.3">
      <c r="A26" s="7">
        <f t="shared" si="2"/>
        <v>51</v>
      </c>
      <c r="B26" s="8">
        <f t="shared" si="9"/>
        <v>46374</v>
      </c>
      <c r="C26" s="9" t="str" cm="1">
        <f t="array" ref="C26">_xlfn.XLOOKUP(E26,Masterdata!$B$31:$B$44,Masterdata!$A$31:$A$44,_xlfn.SWITCH(WEEKDAY($D26, 2), 1, "mandag", 2, "tirsdag", 3, "onsdag", 4, "torsdag", 5, "fredag", 6, "lørdag", 7, "søndag"),0)</f>
        <v>fredag</v>
      </c>
      <c r="D26" s="29">
        <f t="shared" si="0"/>
        <v>6</v>
      </c>
      <c r="E26" s="70">
        <f t="shared" si="3"/>
        <v>46374</v>
      </c>
      <c r="F26" s="10" t="s">
        <v>23</v>
      </c>
      <c r="G26" s="12">
        <f>IF(OR(AND(F26="N",NOT(OR(C26="mandag",C26="tirsdag",C26="onsdag",C26="torsdag",C26="fredag"))),F26="F"),0,
        IF(OR(
            AND(Masterdata!$B$4&lt;&gt;DATE(1900,1,0), Masterdata!$B$4&lt;$E26),
            AND(Masterdata!$B$3&lt;&gt;DATE(1900,1,0), Masterdata!$B$3&gt;$E26)
        ),
        0, $X$7/(5-H26)))</f>
        <v>0.30833333333333335</v>
      </c>
      <c r="H26" s="86">
        <f>SUMPRODUCT(COUNTIFS(November!$A$9:$A$39,$A26,November!$D$9:$D$39,"&lt;7",November!$F$9:$F$39,"F")+COUNTIFS($A$9:$A$38,$A26,$D$9:$D$38,"&lt;7",$F$9:$F$38,"F"))</f>
        <v>0</v>
      </c>
      <c r="I26" s="11">
        <v>0</v>
      </c>
      <c r="J26" s="11">
        <v>0</v>
      </c>
      <c r="K26" s="11">
        <v>0</v>
      </c>
      <c r="L26" s="26" t="str">
        <f t="shared" si="12"/>
        <v>07:24</v>
      </c>
      <c r="M26" s="26" t="str">
        <f>IF(OR(F26="N",F26="F"),"0:00",
IF(
OR(
AND(Masterdata!$B$4&lt;&gt;DATE(1900,1,0),Masterdata!$B$4&lt;$E26),
AND(Masterdata!$B$3&lt;&gt;DATE(1900,1,0),Masterdata!$B$3&gt;$E26)
),"0:00",
IF(
$I26&gt;TIME(0,0,0),
IF(
NOT(OR($C26="mandag",$C26="tirsdag",$C26="onsdag",$C26="torsdag",$C26="fredag")),
TEXT($I26,"[tt]:mm"),
IF($I26-$G26&gt;=0,TEXT($I26-$G26,"[tt]:mm"),"-"&amp;TEXT(ABS($I26-$G26),"[tt]:mm"))
),
IF(
NOT(OR($C26="mandag",$C26="tirsdag",$C26="onsdag",$C26="torsdag",$C26="fredag")),
IF($K26-$J26&gt;=0,TEXT($K26-$J26,"[tt]:mm"),"-"&amp;TEXT(ABS($K26-$J26),"[tt]:mm")),
IF(
$K26-$J26-$G26&gt;=0,
TEXT($K26-$J26-$G26,"[tt]:mm"),
"-"&amp;TEXT(ABS($K26-$J26-$G26),"[tt]:mm")
)
)
)
))</f>
        <v>0:00</v>
      </c>
      <c r="N26" s="71" t="str">
        <f t="shared" si="13"/>
        <v>0</v>
      </c>
      <c r="O26" s="25" t="str">
        <f t="shared" si="5"/>
        <v>0:</v>
      </c>
      <c r="P26" s="52" t="str">
        <f t="shared" si="6"/>
        <v>0</v>
      </c>
      <c r="Q26" s="53">
        <f t="shared" si="10"/>
        <v>0</v>
      </c>
      <c r="R26" s="30">
        <f t="shared" si="14"/>
        <v>0</v>
      </c>
      <c r="S26" s="98"/>
      <c r="T26" s="98"/>
      <c r="U26" s="29"/>
      <c r="V26" s="29"/>
      <c r="W26" s="29" t="s">
        <v>128</v>
      </c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</row>
    <row r="27" spans="1:45" x14ac:dyDescent="0.3">
      <c r="A27" s="7">
        <f t="shared" si="2"/>
        <v>51</v>
      </c>
      <c r="B27" s="8">
        <f t="shared" si="9"/>
        <v>46375</v>
      </c>
      <c r="C27" s="9" t="str" cm="1">
        <f t="array" ref="C27">_xlfn.XLOOKUP(E27,Masterdata!$B$31:$B$44,Masterdata!$A$31:$A$44,_xlfn.SWITCH(WEEKDAY($D27, 2), 1, "mandag", 2, "tirsdag", 3, "onsdag", 4, "torsdag", 5, "fredag", 6, "lørdag", 7, "søndag"),0)</f>
        <v>lørdag</v>
      </c>
      <c r="D27" s="29">
        <f t="shared" si="0"/>
        <v>7</v>
      </c>
      <c r="E27" s="70">
        <f t="shared" si="3"/>
        <v>46375</v>
      </c>
      <c r="F27" s="10" t="s">
        <v>23</v>
      </c>
      <c r="G27" s="12">
        <f>IF(OR(AND(F27="N",NOT(OR(C27="mandag",C27="tirsdag",C27="onsdag",C27="torsdag",C27="fredag"))),F27="F"),0,
        IF(OR(
            AND(Masterdata!$B$4&lt;&gt;DATE(1900,1,0), Masterdata!$B$4&lt;$E27),
            AND(Masterdata!$B$3&lt;&gt;DATE(1900,1,0), Masterdata!$B$3&gt;$E27)
        ),
        0, $X$7/(5-H27)))</f>
        <v>0</v>
      </c>
      <c r="H27" s="86">
        <f>SUMPRODUCT(COUNTIFS(November!$A$9:$A$39,$A27,November!$D$9:$D$39,"&lt;7",November!$F$9:$F$39,"F")+COUNTIFS($A$9:$A$38,$A27,$D$9:$D$38,"&lt;7",$F$9:$F$38,"F"))</f>
        <v>0</v>
      </c>
      <c r="I27" s="11">
        <v>0</v>
      </c>
      <c r="J27" s="11">
        <v>0</v>
      </c>
      <c r="K27" s="11">
        <v>0</v>
      </c>
      <c r="L27" s="26" t="str">
        <f t="shared" si="12"/>
        <v>00:00</v>
      </c>
      <c r="M27" s="26" t="str">
        <f>IF(OR(F27="N",F27="F"),"0:00",
IF(
OR(
AND(Masterdata!$B$4&lt;&gt;DATE(1900,1,0),Masterdata!$B$4&lt;$E27),
AND(Masterdata!$B$3&lt;&gt;DATE(1900,1,0),Masterdata!$B$3&gt;$E27)
),"0:00",
IF(
$I27&gt;TIME(0,0,0),
IF(
NOT(OR($C27="mandag",$C27="tirsdag",$C27="onsdag",$C27="torsdag",$C27="fredag")),
TEXT($I27,"[tt]:mm"),
IF($I27-$G27&gt;=0,TEXT($I27-$G27,"[tt]:mm"),"-"&amp;TEXT(ABS($I27-$G27),"[tt]:mm"))
),
IF(
NOT(OR($C27="mandag",$C27="tirsdag",$C27="onsdag",$C27="torsdag",$C27="fredag")),
IF($K27-$J27&gt;=0,TEXT($K27-$J27,"[tt]:mm"),"-"&amp;TEXT(ABS($K27-$J27),"[tt]:mm")),
IF(
$K27-$J27-$G27&gt;=0,
TEXT($K27-$J27-$G27,"[tt]:mm"),
"-"&amp;TEXT(ABS($K27-$J27-$G27),"[tt]:mm")
)
)
)
))</f>
        <v>0:00</v>
      </c>
      <c r="N27" s="71" t="str">
        <f t="shared" si="13"/>
        <v>0</v>
      </c>
      <c r="O27" s="25" t="str">
        <f t="shared" si="5"/>
        <v>0:</v>
      </c>
      <c r="P27" s="52" t="str">
        <f t="shared" si="6"/>
        <v>0</v>
      </c>
      <c r="Q27" s="53">
        <f t="shared" si="10"/>
        <v>0</v>
      </c>
      <c r="R27" s="30">
        <f t="shared" si="14"/>
        <v>0</v>
      </c>
      <c r="S27" s="98"/>
      <c r="T27" s="98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</row>
    <row r="28" spans="1:45" x14ac:dyDescent="0.3">
      <c r="A28" s="7">
        <f t="shared" si="2"/>
        <v>51</v>
      </c>
      <c r="B28" s="8">
        <f t="shared" si="9"/>
        <v>46376</v>
      </c>
      <c r="C28" s="9" t="str" cm="1">
        <f t="array" ref="C28">_xlfn.XLOOKUP(E28,Masterdata!$B$31:$B$44,Masterdata!$A$31:$A$44,_xlfn.SWITCH(WEEKDAY($D28, 2), 1, "mandag", 2, "tirsdag", 3, "onsdag", 4, "torsdag", 5, "fredag", 6, "lørdag", 7, "søndag"),0)</f>
        <v>søndag</v>
      </c>
      <c r="D28" s="29">
        <f t="shared" si="0"/>
        <v>8</v>
      </c>
      <c r="E28" s="70">
        <f t="shared" si="3"/>
        <v>46376</v>
      </c>
      <c r="F28" s="10" t="s">
        <v>23</v>
      </c>
      <c r="G28" s="12">
        <f>IF(OR(AND(F28="N",NOT(OR(C28="mandag",C28="tirsdag",C28="onsdag",C28="torsdag",C28="fredag"))),F28="F"),0,
        IF(OR(
            AND(Masterdata!$B$4&lt;&gt;DATE(1900,1,0), Masterdata!$B$4&lt;$E28),
            AND(Masterdata!$B$3&lt;&gt;DATE(1900,1,0), Masterdata!$B$3&gt;$E28)
        ),
        0, $X$7/(5-H28)))</f>
        <v>0</v>
      </c>
      <c r="H28" s="86">
        <f>SUMPRODUCT(COUNTIFS(November!$A$9:$A$39,$A28,November!$D$9:$D$39,"&lt;7",November!$F$9:$F$39,"F")+COUNTIFS($A$9:$A$38,$A28,$D$9:$D$38,"&lt;7",$F$9:$F$38,"F"))</f>
        <v>0</v>
      </c>
      <c r="I28" s="11">
        <v>0</v>
      </c>
      <c r="J28" s="11">
        <v>0</v>
      </c>
      <c r="K28" s="11">
        <v>0</v>
      </c>
      <c r="L28" s="26" t="str">
        <f t="shared" si="12"/>
        <v>00:00</v>
      </c>
      <c r="M28" s="26" t="str">
        <f>IF(OR(F28="N",F28="F"),"0:00",
IF(
OR(
AND(Masterdata!$B$4&lt;&gt;DATE(1900,1,0),Masterdata!$B$4&lt;$E28),
AND(Masterdata!$B$3&lt;&gt;DATE(1900,1,0),Masterdata!$B$3&gt;$E28)
),"0:00",
IF(
$I28&gt;TIME(0,0,0),
IF(
NOT(OR($C28="mandag",$C28="tirsdag",$C28="onsdag",$C28="torsdag",$C28="fredag")),
TEXT($I28,"[tt]:mm"),
IF($I28-$G28&gt;=0,TEXT($I28-$G28,"[tt]:mm"),"-"&amp;TEXT(ABS($I28-$G28),"[tt]:mm"))
),
IF(
NOT(OR($C28="mandag",$C28="tirsdag",$C28="onsdag",$C28="torsdag",$C28="fredag")),
IF($K28-$J28&gt;=0,TEXT($K28-$J28,"[tt]:mm"),"-"&amp;TEXT(ABS($K28-$J28),"[tt]:mm")),
IF(
$K28-$J28-$G28&gt;=0,
TEXT($K28-$J28-$G28,"[tt]:mm"),
"-"&amp;TEXT(ABS($K28-$J28-$G28),"[tt]:mm")
)
)
)
))</f>
        <v>0:00</v>
      </c>
      <c r="N28" s="71" t="str">
        <f t="shared" si="13"/>
        <v>0</v>
      </c>
      <c r="O28" s="25" t="str">
        <f t="shared" si="5"/>
        <v>0:</v>
      </c>
      <c r="P28" s="52" t="str">
        <f t="shared" si="6"/>
        <v>0</v>
      </c>
      <c r="Q28" s="53">
        <f t="shared" si="10"/>
        <v>0</v>
      </c>
      <c r="R28" s="30">
        <f t="shared" si="14"/>
        <v>0</v>
      </c>
      <c r="S28" s="98"/>
      <c r="T28" s="98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</row>
    <row r="29" spans="1:45" x14ac:dyDescent="0.3">
      <c r="A29" s="7">
        <f t="shared" si="2"/>
        <v>52</v>
      </c>
      <c r="B29" s="8">
        <f t="shared" si="9"/>
        <v>46377</v>
      </c>
      <c r="C29" s="9" t="str" cm="1">
        <f t="array" ref="C29">_xlfn.XLOOKUP(E29,Masterdata!$B$31:$B$44,Masterdata!$A$31:$A$44,_xlfn.SWITCH(WEEKDAY($D29, 2), 1, "mandag", 2, "tirsdag", 3, "onsdag", 4, "torsdag", 5, "fredag", 6, "lørdag", 7, "søndag"),0)</f>
        <v>mandag</v>
      </c>
      <c r="D29" s="29">
        <f t="shared" si="0"/>
        <v>2</v>
      </c>
      <c r="E29" s="70">
        <f t="shared" si="3"/>
        <v>46377</v>
      </c>
      <c r="F29" s="10" t="s">
        <v>23</v>
      </c>
      <c r="G29" s="12">
        <f>IF(OR(AND(F29="N",NOT(OR(C29="mandag",C29="tirsdag",C29="onsdag",C29="torsdag",C29="fredag"))),F29="F"),0,
        IF(OR(
            AND(Masterdata!$B$4&lt;&gt;DATE(1900,1,0), Masterdata!$B$4&lt;$E29),
            AND(Masterdata!$B$3&lt;&gt;DATE(1900,1,0), Masterdata!$B$3&gt;$E29)
        ),
        0, $X$7/(5-H29)))</f>
        <v>0.30833333333333335</v>
      </c>
      <c r="H29" s="86">
        <f>SUMPRODUCT(COUNTIFS(November!$A$9:$A$39,$A29,November!$D$9:$D$39,"&lt;7",November!$F$9:$F$39,"F")+COUNTIFS($A$9:$A$38,$A29,$D$9:$D$38,"&lt;7",$F$9:$F$38,"F"))</f>
        <v>0</v>
      </c>
      <c r="I29" s="11">
        <v>0</v>
      </c>
      <c r="J29" s="11">
        <v>0</v>
      </c>
      <c r="K29" s="11">
        <v>0</v>
      </c>
      <c r="L29" s="26" t="str">
        <f t="shared" si="12"/>
        <v>07:24</v>
      </c>
      <c r="M29" s="26" t="str">
        <f>IF(OR(F29="N",F29="F"),"0:00",
IF(
OR(
AND(Masterdata!$B$4&lt;&gt;DATE(1900,1,0),Masterdata!$B$4&lt;$E29),
AND(Masterdata!$B$3&lt;&gt;DATE(1900,1,0),Masterdata!$B$3&gt;$E29)
),"0:00",
IF(
$I29&gt;TIME(0,0,0),
IF(
NOT(OR($C29="mandag",$C29="tirsdag",$C29="onsdag",$C29="torsdag",$C29="fredag")),
TEXT($I29,"[tt]:mm"),
IF($I29-$G29&gt;=0,TEXT($I29-$G29,"[tt]:mm"),"-"&amp;TEXT(ABS($I29-$G29),"[tt]:mm"))
),
IF(
NOT(OR($C29="mandag",$C29="tirsdag",$C29="onsdag",$C29="torsdag",$C29="fredag")),
IF($K29-$J29&gt;=0,TEXT($K29-$J29,"[tt]:mm"),"-"&amp;TEXT(ABS($K29-$J29),"[tt]:mm")),
IF(
$K29-$J29-$G29&gt;=0,
TEXT($K29-$J29-$G29,"[tt]:mm"),
"-"&amp;TEXT(ABS($K29-$J29-$G29),"[tt]:mm")
)
)
)
))</f>
        <v>0:00</v>
      </c>
      <c r="N29" s="71" t="str">
        <f t="shared" si="13"/>
        <v>0</v>
      </c>
      <c r="O29" s="25" t="str">
        <f t="shared" si="5"/>
        <v>0:</v>
      </c>
      <c r="P29" s="52" t="str">
        <f t="shared" si="6"/>
        <v>0</v>
      </c>
      <c r="Q29" s="53">
        <f t="shared" si="10"/>
        <v>0</v>
      </c>
      <c r="R29" s="30">
        <f t="shared" si="14"/>
        <v>0</v>
      </c>
      <c r="S29" s="98"/>
      <c r="T29" s="98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</row>
    <row r="30" spans="1:45" x14ac:dyDescent="0.3">
      <c r="A30" s="7">
        <f t="shared" si="2"/>
        <v>52</v>
      </c>
      <c r="B30" s="8">
        <f t="shared" si="9"/>
        <v>46378</v>
      </c>
      <c r="C30" s="9" t="str" cm="1">
        <f t="array" ref="C30">_xlfn.XLOOKUP(E30,Masterdata!$B$31:$B$44,Masterdata!$A$31:$A$44,_xlfn.SWITCH(WEEKDAY($D30, 2), 1, "mandag", 2, "tirsdag", 3, "onsdag", 4, "torsdag", 5, "fredag", 6, "lørdag", 7, "søndag"),0)</f>
        <v>tirsdag</v>
      </c>
      <c r="D30" s="29">
        <f t="shared" si="0"/>
        <v>3</v>
      </c>
      <c r="E30" s="70">
        <f t="shared" si="3"/>
        <v>46378</v>
      </c>
      <c r="F30" s="10" t="s">
        <v>23</v>
      </c>
      <c r="G30" s="12">
        <f>IF(OR(AND(F30="N",NOT(OR(C30="mandag",C30="tirsdag",C30="onsdag",C30="torsdag",C30="fredag"))),F30="F"),0,
        IF(OR(
            AND(Masterdata!$B$4&lt;&gt;DATE(1900,1,0), Masterdata!$B$4&lt;$E30),
            AND(Masterdata!$B$3&lt;&gt;DATE(1900,1,0), Masterdata!$B$3&gt;$E30)
        ),
        0, $X$7/(5-H30)))</f>
        <v>0.30833333333333335</v>
      </c>
      <c r="H30" s="86">
        <f>SUMPRODUCT(COUNTIFS(November!$A$9:$A$39,$A30,November!$D$9:$D$39,"&lt;7",November!$F$9:$F$39,"F")+COUNTIFS($A$9:$A$38,$A30,$D$9:$D$38,"&lt;7",$F$9:$F$38,"F"))</f>
        <v>0</v>
      </c>
      <c r="I30" s="11">
        <v>0</v>
      </c>
      <c r="J30" s="11">
        <v>0</v>
      </c>
      <c r="K30" s="11">
        <v>0</v>
      </c>
      <c r="L30" s="26" t="str">
        <f t="shared" si="12"/>
        <v>07:24</v>
      </c>
      <c r="M30" s="26" t="str">
        <f>IF(OR(F30="N",F30="F"),"0:00",
IF(
OR(
AND(Masterdata!$B$4&lt;&gt;DATE(1900,1,0),Masterdata!$B$4&lt;$E30),
AND(Masterdata!$B$3&lt;&gt;DATE(1900,1,0),Masterdata!$B$3&gt;$E30)
),"0:00",
IF(
$I30&gt;TIME(0,0,0),
IF(
NOT(OR($C30="mandag",$C30="tirsdag",$C30="onsdag",$C30="torsdag",$C30="fredag")),
TEXT($I30,"[tt]:mm"),
IF($I30-$G30&gt;=0,TEXT($I30-$G30,"[tt]:mm"),"-"&amp;TEXT(ABS($I30-$G30),"[tt]:mm"))
),
IF(
NOT(OR($C30="mandag",$C30="tirsdag",$C30="onsdag",$C30="torsdag",$C30="fredag")),
IF($K30-$J30&gt;=0,TEXT($K30-$J30,"[tt]:mm"),"-"&amp;TEXT(ABS($K30-$J30),"[tt]:mm")),
IF(
$K30-$J30-$G30&gt;=0,
TEXT($K30-$J30-$G30,"[tt]:mm"),
"-"&amp;TEXT(ABS($K30-$J30-$G30),"[tt]:mm")
)
)
)
))</f>
        <v>0:00</v>
      </c>
      <c r="N30" s="71" t="str">
        <f t="shared" si="13"/>
        <v>0</v>
      </c>
      <c r="O30" s="25" t="str">
        <f t="shared" si="5"/>
        <v>0:</v>
      </c>
      <c r="P30" s="52" t="str">
        <f t="shared" si="6"/>
        <v>0</v>
      </c>
      <c r="Q30" s="53">
        <f t="shared" si="10"/>
        <v>0</v>
      </c>
      <c r="R30" s="30">
        <f t="shared" si="14"/>
        <v>0</v>
      </c>
      <c r="S30" s="98"/>
      <c r="T30" s="98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</row>
    <row r="31" spans="1:45" x14ac:dyDescent="0.3">
      <c r="A31" s="7">
        <f t="shared" si="2"/>
        <v>52</v>
      </c>
      <c r="B31" s="8">
        <f t="shared" si="9"/>
        <v>46379</v>
      </c>
      <c r="C31" s="9" t="str" cm="1">
        <f t="array" ref="C31">_xlfn.XLOOKUP(E31,Masterdata!$B$31:$B$44,Masterdata!$A$31:$A$44,_xlfn.SWITCH(WEEKDAY($D31, 2), 1, "mandag", 2, "tirsdag", 3, "onsdag", 4, "torsdag", 5, "fredag", 6, "lørdag", 7, "søndag"),0)</f>
        <v>onsdag</v>
      </c>
      <c r="D31" s="29">
        <f t="shared" si="0"/>
        <v>4</v>
      </c>
      <c r="E31" s="70">
        <f t="shared" si="3"/>
        <v>46379</v>
      </c>
      <c r="F31" s="10" t="s">
        <v>23</v>
      </c>
      <c r="G31" s="12">
        <f>IF(OR(AND(F31="N",NOT(OR(C31="mandag",C31="tirsdag",C31="onsdag",C31="torsdag",C31="fredag"))),F31="F"),0,
        IF(OR(
            AND(Masterdata!$B$4&lt;&gt;DATE(1900,1,0), Masterdata!$B$4&lt;$E31),
            AND(Masterdata!$B$3&lt;&gt;DATE(1900,1,0), Masterdata!$B$3&gt;$E31)
        ),
        0, $X$7/(5-H31)))</f>
        <v>0.30833333333333335</v>
      </c>
      <c r="H31" s="86">
        <f>SUMPRODUCT(COUNTIFS(November!$A$9:$A$39,$A31,November!$D$9:$D$39,"&lt;7",November!$F$9:$F$39,"F")+COUNTIFS($A$9:$A$38,$A31,$D$9:$D$38,"&lt;7",$F$9:$F$38,"F"))</f>
        <v>0</v>
      </c>
      <c r="I31" s="11">
        <v>0</v>
      </c>
      <c r="J31" s="11">
        <v>0</v>
      </c>
      <c r="K31" s="11">
        <v>0</v>
      </c>
      <c r="L31" s="26" t="str">
        <f t="shared" si="12"/>
        <v>07:24</v>
      </c>
      <c r="M31" s="26" t="str">
        <f>IF(OR(F31="N",F31="F"),"0:00",
IF(
OR(
AND(Masterdata!$B$4&lt;&gt;DATE(1900,1,0),Masterdata!$B$4&lt;$E31),
AND(Masterdata!$B$3&lt;&gt;DATE(1900,1,0),Masterdata!$B$3&gt;$E31)
),"0:00",
IF(
$I31&gt;TIME(0,0,0),
IF(
NOT(OR($C31="mandag",$C31="tirsdag",$C31="onsdag",$C31="torsdag",$C31="fredag")),
TEXT($I31,"[tt]:mm"),
IF($I31-$G31&gt;=0,TEXT($I31-$G31,"[tt]:mm"),"-"&amp;TEXT(ABS($I31-$G31),"[tt]:mm"))
),
IF(
NOT(OR($C31="mandag",$C31="tirsdag",$C31="onsdag",$C31="torsdag",$C31="fredag")),
IF($K31-$J31&gt;=0,TEXT($K31-$J31,"[tt]:mm"),"-"&amp;TEXT(ABS($K31-$J31),"[tt]:mm")),
IF(
$K31-$J31-$G31&gt;=0,
TEXT($K31-$J31-$G31,"[tt]:mm"),
"-"&amp;TEXT(ABS($K31-$J31-$G31),"[tt]:mm")
)
)
)
))</f>
        <v>0:00</v>
      </c>
      <c r="N31" s="71" t="str">
        <f t="shared" si="13"/>
        <v>0</v>
      </c>
      <c r="O31" s="25" t="str">
        <f t="shared" si="5"/>
        <v>0:</v>
      </c>
      <c r="P31" s="52" t="str">
        <f t="shared" si="6"/>
        <v>0</v>
      </c>
      <c r="Q31" s="53">
        <f t="shared" si="10"/>
        <v>0</v>
      </c>
      <c r="R31" s="30">
        <f t="shared" si="14"/>
        <v>0</v>
      </c>
      <c r="S31" s="98"/>
      <c r="T31" s="98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</row>
    <row r="32" spans="1:45" x14ac:dyDescent="0.3">
      <c r="A32" s="7">
        <f t="shared" si="2"/>
        <v>52</v>
      </c>
      <c r="B32" s="8">
        <f t="shared" si="9"/>
        <v>46380</v>
      </c>
      <c r="C32" s="9" t="str" cm="1">
        <f t="array" ref="C32">_xlfn.XLOOKUP(E32,Masterdata!$B$31:$B$44,Masterdata!$A$31:$A$44,_xlfn.SWITCH(WEEKDAY($D32, 2), 1, "mandag", 2, "tirsdag", 3, "onsdag", 4, "torsdag", 5, "fredag", 6, "lørdag", 7, "søndag"),0)</f>
        <v>juleaften</v>
      </c>
      <c r="D32" s="29">
        <f t="shared" si="0"/>
        <v>5</v>
      </c>
      <c r="E32" s="70">
        <f t="shared" si="3"/>
        <v>46380</v>
      </c>
      <c r="F32" s="10" t="s">
        <v>23</v>
      </c>
      <c r="G32" s="12">
        <f>IF(OR(AND(F32="N",NOT(OR(C32="mandag",C32="tirsdag",C32="onsdag",C32="torsdag",C32="fredag"))),F32="F"),0,
        IF(OR(
            AND(Masterdata!$B$4&lt;&gt;DATE(1900,1,0), Masterdata!$B$4&lt;$E32),
            AND(Masterdata!$B$3&lt;&gt;DATE(1900,1,0), Masterdata!$B$3&gt;$E32)
        ),
        0, $X$7/(5-H32)))</f>
        <v>0</v>
      </c>
      <c r="H32" s="86">
        <f>SUMPRODUCT(COUNTIFS(November!$A$9:$A$39,$A32,November!$D$9:$D$39,"&lt;7",November!$F$9:$F$39,"F")+COUNTIFS($A$9:$A$38,$A32,$D$9:$D$38,"&lt;7",$F$9:$F$38,"F"))</f>
        <v>0</v>
      </c>
      <c r="I32" s="11">
        <v>0</v>
      </c>
      <c r="J32" s="11">
        <v>0</v>
      </c>
      <c r="K32" s="11">
        <v>0</v>
      </c>
      <c r="L32" s="26" t="str">
        <f t="shared" si="12"/>
        <v>00:00</v>
      </c>
      <c r="M32" s="26" t="str">
        <f>IF(OR(F32="N",F32="F"),"0:00",
IF(
OR(
AND(Masterdata!$B$4&lt;&gt;DATE(1900,1,0),Masterdata!$B$4&lt;$E32),
AND(Masterdata!$B$3&lt;&gt;DATE(1900,1,0),Masterdata!$B$3&gt;$E32)
),"0:00",
IF(
$I32&gt;TIME(0,0,0),
IF(
NOT(OR($C32="mandag",$C32="tirsdag",$C32="onsdag",$C32="torsdag",$C32="fredag")),
TEXT($I32,"[tt]:mm"),
IF($I32-$G32&gt;=0,TEXT($I32-$G32,"[tt]:mm"),"-"&amp;TEXT(ABS($I32-$G32),"[tt]:mm"))
),
IF(
NOT(OR($C32="mandag",$C32="tirsdag",$C32="onsdag",$C32="torsdag",$C32="fredag")),
IF($K32-$J32&gt;=0,TEXT($K32-$J32,"[tt]:mm"),"-"&amp;TEXT(ABS($K32-$J32),"[tt]:mm")),
IF(
$K32-$J32-$G32&gt;=0,
TEXT($K32-$J32-$G32,"[tt]:mm"),
"-"&amp;TEXT(ABS($K32-$J32-$G32),"[tt]:mm")
)
)
)
))</f>
        <v>0:00</v>
      </c>
      <c r="N32" s="71" t="str">
        <f t="shared" si="13"/>
        <v>0</v>
      </c>
      <c r="O32" s="25" t="str">
        <f t="shared" si="5"/>
        <v>0:</v>
      </c>
      <c r="P32" s="52" t="str">
        <f t="shared" si="6"/>
        <v>0</v>
      </c>
      <c r="Q32" s="53">
        <f t="shared" si="10"/>
        <v>0</v>
      </c>
      <c r="R32" s="30">
        <f t="shared" si="14"/>
        <v>0</v>
      </c>
      <c r="S32" s="98"/>
      <c r="T32" s="98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</row>
    <row r="33" spans="1:45" x14ac:dyDescent="0.3">
      <c r="A33" s="7">
        <f t="shared" si="2"/>
        <v>52</v>
      </c>
      <c r="B33" s="8">
        <f t="shared" si="9"/>
        <v>46381</v>
      </c>
      <c r="C33" s="9" t="str" cm="1">
        <f t="array" ref="C33">_xlfn.XLOOKUP(E33,Masterdata!$B$31:$B$44,Masterdata!$A$31:$A$44,_xlfn.SWITCH(WEEKDAY($D33, 2), 1, "mandag", 2, "tirsdag", 3, "onsdag", 4, "torsdag", 5, "fredag", 6, "lørdag", 7, "søndag"),0)</f>
        <v>1. juledag</v>
      </c>
      <c r="D33" s="29">
        <f t="shared" si="0"/>
        <v>6</v>
      </c>
      <c r="E33" s="70">
        <f t="shared" si="3"/>
        <v>46381</v>
      </c>
      <c r="F33" s="10" t="s">
        <v>23</v>
      </c>
      <c r="G33" s="12">
        <f>IF(OR(AND(F33="N",NOT(OR(C33="mandag",C33="tirsdag",C33="onsdag",C33="torsdag",C33="fredag"))),F33="F"),0,
        IF(OR(
            AND(Masterdata!$B$4&lt;&gt;DATE(1900,1,0), Masterdata!$B$4&lt;$E33),
            AND(Masterdata!$B$3&lt;&gt;DATE(1900,1,0), Masterdata!$B$3&gt;$E33)
        ),
        0, $X$7/(5-H33)))</f>
        <v>0</v>
      </c>
      <c r="H33" s="86">
        <f>SUMPRODUCT(COUNTIFS(November!$A$9:$A$39,$A33,November!$D$9:$D$39,"&lt;7",November!$F$9:$F$39,"F")+COUNTIFS($A$9:$A$38,$A33,$D$9:$D$38,"&lt;7",$F$9:$F$38,"F"))</f>
        <v>0</v>
      </c>
      <c r="I33" s="11">
        <v>0</v>
      </c>
      <c r="J33" s="11">
        <v>0</v>
      </c>
      <c r="K33" s="11">
        <v>0</v>
      </c>
      <c r="L33" s="26" t="str">
        <f t="shared" si="12"/>
        <v>00:00</v>
      </c>
      <c r="M33" s="26" t="str">
        <f>IF(OR(F33="N",F33="F"),"0:00",
IF(
OR(
AND(Masterdata!$B$4&lt;&gt;DATE(1900,1,0),Masterdata!$B$4&lt;$E33),
AND(Masterdata!$B$3&lt;&gt;DATE(1900,1,0),Masterdata!$B$3&gt;$E33)
),"0:00",
IF(
$I33&gt;TIME(0,0,0),
IF(
NOT(OR($C33="mandag",$C33="tirsdag",$C33="onsdag",$C33="torsdag",$C33="fredag")),
TEXT($I33,"[tt]:mm"),
IF($I33-$G33&gt;=0,TEXT($I33-$G33,"[tt]:mm"),"-"&amp;TEXT(ABS($I33-$G33),"[tt]:mm"))
),
IF(
NOT(OR($C33="mandag",$C33="tirsdag",$C33="onsdag",$C33="torsdag",$C33="fredag")),
IF($K33-$J33&gt;=0,TEXT($K33-$J33,"[tt]:mm"),"-"&amp;TEXT(ABS($K33-$J33),"[tt]:mm")),
IF(
$K33-$J33-$G33&gt;=0,
TEXT($K33-$J33-$G33,"[tt]:mm"),
"-"&amp;TEXT(ABS($K33-$J33-$G33),"[tt]:mm")
)
)
)
))</f>
        <v>0:00</v>
      </c>
      <c r="N33" s="71" t="str">
        <f t="shared" si="13"/>
        <v>0</v>
      </c>
      <c r="O33" s="25" t="str">
        <f t="shared" si="5"/>
        <v>0:</v>
      </c>
      <c r="P33" s="52" t="str">
        <f t="shared" si="6"/>
        <v>0</v>
      </c>
      <c r="Q33" s="53">
        <f t="shared" si="10"/>
        <v>0</v>
      </c>
      <c r="R33" s="30">
        <f t="shared" si="14"/>
        <v>0</v>
      </c>
      <c r="S33" s="98"/>
      <c r="T33" s="98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</row>
    <row r="34" spans="1:45" x14ac:dyDescent="0.3">
      <c r="A34" s="7">
        <f t="shared" si="2"/>
        <v>52</v>
      </c>
      <c r="B34" s="8">
        <f t="shared" si="9"/>
        <v>46382</v>
      </c>
      <c r="C34" s="9" t="str" cm="1">
        <f t="array" ref="C34">_xlfn.XLOOKUP(E34,Masterdata!$B$31:$B$44,Masterdata!$A$31:$A$44,_xlfn.SWITCH(WEEKDAY($D34, 2), 1, "mandag", 2, "tirsdag", 3, "onsdag", 4, "torsdag", 5, "fredag", 6, "lørdag", 7, "søndag"),0)</f>
        <v>2. juledag</v>
      </c>
      <c r="D34" s="29">
        <f t="shared" si="0"/>
        <v>7</v>
      </c>
      <c r="E34" s="70">
        <f t="shared" si="3"/>
        <v>46382</v>
      </c>
      <c r="F34" s="10" t="s">
        <v>23</v>
      </c>
      <c r="G34" s="12">
        <f>IF(OR(AND(F34="N",NOT(OR(C34="mandag",C34="tirsdag",C34="onsdag",C34="torsdag",C34="fredag"))),F34="F"),0,
        IF(OR(
            AND(Masterdata!$B$4&lt;&gt;DATE(1900,1,0), Masterdata!$B$4&lt;$E34),
            AND(Masterdata!$B$3&lt;&gt;DATE(1900,1,0), Masterdata!$B$3&gt;$E34)
        ),
        0, $X$7/(5-H34)))</f>
        <v>0</v>
      </c>
      <c r="H34" s="86">
        <f>SUMPRODUCT(COUNTIFS(November!$A$9:$A$39,$A34,November!$D$9:$D$39,"&lt;7",November!$F$9:$F$39,"F")+COUNTIFS($A$9:$A$38,$A34,$D$9:$D$38,"&lt;7",$F$9:$F$38,"F"))</f>
        <v>0</v>
      </c>
      <c r="I34" s="11">
        <v>0</v>
      </c>
      <c r="J34" s="11">
        <v>0</v>
      </c>
      <c r="K34" s="11">
        <v>0</v>
      </c>
      <c r="L34" s="26" t="str">
        <f t="shared" si="12"/>
        <v>00:00</v>
      </c>
      <c r="M34" s="26" t="str">
        <f>IF(OR(F34="N",F34="F"),"0:00",
IF(
OR(
AND(Masterdata!$B$4&lt;&gt;DATE(1900,1,0),Masterdata!$B$4&lt;$E34),
AND(Masterdata!$B$3&lt;&gt;DATE(1900,1,0),Masterdata!$B$3&gt;$E34)
),"0:00",
IF(
$I34&gt;TIME(0,0,0),
IF(
NOT(OR($C34="mandag",$C34="tirsdag",$C34="onsdag",$C34="torsdag",$C34="fredag")),
TEXT($I34,"[tt]:mm"),
IF($I34-$G34&gt;=0,TEXT($I34-$G34,"[tt]:mm"),"-"&amp;TEXT(ABS($I34-$G34),"[tt]:mm"))
),
IF(
NOT(OR($C34="mandag",$C34="tirsdag",$C34="onsdag",$C34="torsdag",$C34="fredag")),
IF($K34-$J34&gt;=0,TEXT($K34-$J34,"[tt]:mm"),"-"&amp;TEXT(ABS($K34-$J34),"[tt]:mm")),
IF(
$K34-$J34-$G34&gt;=0,
TEXT($K34-$J34-$G34,"[tt]:mm"),
"-"&amp;TEXT(ABS($K34-$J34-$G34),"[tt]:mm")
)
)
)
))</f>
        <v>0:00</v>
      </c>
      <c r="N34" s="71" t="str">
        <f t="shared" ref="N34:N39" si="15">LEFT(M34,1)</f>
        <v>0</v>
      </c>
      <c r="O34" s="25" t="str">
        <f t="shared" si="5"/>
        <v>0:</v>
      </c>
      <c r="P34" s="52" t="str">
        <f t="shared" si="6"/>
        <v>0</v>
      </c>
      <c r="Q34" s="53">
        <f t="shared" ref="Q34:Q39" si="16">P34/60</f>
        <v>0</v>
      </c>
      <c r="R34" s="30">
        <f t="shared" ref="R34:R39" si="17">IF(N34="-",O34-Q34,O34+Q34)</f>
        <v>0</v>
      </c>
      <c r="S34" s="98"/>
      <c r="T34" s="98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</row>
    <row r="35" spans="1:45" x14ac:dyDescent="0.3">
      <c r="A35" s="7">
        <f t="shared" si="2"/>
        <v>52</v>
      </c>
      <c r="B35" s="8">
        <f t="shared" si="9"/>
        <v>46383</v>
      </c>
      <c r="C35" s="9" t="str" cm="1">
        <f t="array" ref="C35">_xlfn.XLOOKUP(E35,Masterdata!$B$31:$B$44,Masterdata!$A$31:$A$44,_xlfn.SWITCH(WEEKDAY($D35, 2), 1, "mandag", 2, "tirsdag", 3, "onsdag", 4, "torsdag", 5, "fredag", 6, "lørdag", 7, "søndag"),0)</f>
        <v>søndag</v>
      </c>
      <c r="D35" s="29">
        <f t="shared" si="0"/>
        <v>8</v>
      </c>
      <c r="E35" s="70">
        <f t="shared" si="3"/>
        <v>46383</v>
      </c>
      <c r="F35" s="10" t="s">
        <v>23</v>
      </c>
      <c r="G35" s="12">
        <f>IF(OR(AND(F35="N",NOT(OR(C35="mandag",C35="tirsdag",C35="onsdag",C35="torsdag",C35="fredag"))),F35="F"),0,
        IF(OR(
            AND(Masterdata!$B$4&lt;&gt;DATE(1900,1,0), Masterdata!$B$4&lt;$E35),
            AND(Masterdata!$B$3&lt;&gt;DATE(1900,1,0), Masterdata!$B$3&gt;$E35)
        ),
        0, $X$7/(5-H35)))</f>
        <v>0</v>
      </c>
      <c r="H35" s="86">
        <f>SUMPRODUCT(COUNTIFS(November!$A$9:$A$39,$A35,November!$D$9:$D$39,"&lt;7",November!$F$9:$F$39,"F")+COUNTIFS($A$9:$A$38,$A35,$D$9:$D$38,"&lt;7",$F$9:$F$38,"F"))</f>
        <v>0</v>
      </c>
      <c r="I35" s="11">
        <v>0</v>
      </c>
      <c r="J35" s="11">
        <v>0</v>
      </c>
      <c r="K35" s="11">
        <v>0</v>
      </c>
      <c r="L35" s="26" t="str">
        <f t="shared" si="12"/>
        <v>00:00</v>
      </c>
      <c r="M35" s="26" t="str">
        <f>IF(OR(F35="N",F35="F"),"0:00",
IF(
OR(
AND(Masterdata!$B$4&lt;&gt;DATE(1900,1,0),Masterdata!$B$4&lt;$E35),
AND(Masterdata!$B$3&lt;&gt;DATE(1900,1,0),Masterdata!$B$3&gt;$E35)
),"0:00",
IF(
$I35&gt;TIME(0,0,0),
IF(
NOT(OR($C35="mandag",$C35="tirsdag",$C35="onsdag",$C35="torsdag",$C35="fredag")),
TEXT($I35,"[tt]:mm"),
IF($I35-$G35&gt;=0,TEXT($I35-$G35,"[tt]:mm"),"-"&amp;TEXT(ABS($I35-$G35),"[tt]:mm"))
),
IF(
NOT(OR($C35="mandag",$C35="tirsdag",$C35="onsdag",$C35="torsdag",$C35="fredag")),
IF($K35-$J35&gt;=0,TEXT($K35-$J35,"[tt]:mm"),"-"&amp;TEXT(ABS($K35-$J35),"[tt]:mm")),
IF(
$K35-$J35-$G35&gt;=0,
TEXT($K35-$J35-$G35,"[tt]:mm"),
"-"&amp;TEXT(ABS($K35-$J35-$G35),"[tt]:mm")
)
)
)
))</f>
        <v>0:00</v>
      </c>
      <c r="N35" s="71" t="str">
        <f t="shared" si="15"/>
        <v>0</v>
      </c>
      <c r="O35" s="25" t="str">
        <f t="shared" si="5"/>
        <v>0:</v>
      </c>
      <c r="P35" s="52" t="str">
        <f t="shared" si="6"/>
        <v>0</v>
      </c>
      <c r="Q35" s="53">
        <f t="shared" si="16"/>
        <v>0</v>
      </c>
      <c r="R35" s="30">
        <f t="shared" si="17"/>
        <v>0</v>
      </c>
      <c r="S35" s="98"/>
      <c r="T35" s="98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</row>
    <row r="36" spans="1:45" x14ac:dyDescent="0.3">
      <c r="A36" s="7">
        <f t="shared" si="2"/>
        <v>53</v>
      </c>
      <c r="B36" s="8">
        <f t="shared" si="9"/>
        <v>46384</v>
      </c>
      <c r="C36" s="9" t="str" cm="1">
        <f t="array" ref="C36">_xlfn.XLOOKUP(E36,Masterdata!$B$31:$B$44,Masterdata!$A$31:$A$44,_xlfn.SWITCH(WEEKDAY($D36, 2), 1, "mandag", 2, "tirsdag", 3, "onsdag", 4, "torsdag", 5, "fredag", 6, "lørdag", 7, "søndag"),0)</f>
        <v>mandag</v>
      </c>
      <c r="D36" s="29">
        <f t="shared" si="0"/>
        <v>2</v>
      </c>
      <c r="E36" s="70">
        <f t="shared" si="3"/>
        <v>46384</v>
      </c>
      <c r="F36" s="10" t="s">
        <v>23</v>
      </c>
      <c r="G36" s="12">
        <f>IF(OR(AND(F36="N",NOT(OR(C36="mandag",C36="tirsdag",C36="onsdag",C36="torsdag",C36="fredag"))),F36="F"),0,
        IF(OR(
            AND(Masterdata!$B$4&lt;&gt;DATE(1900,1,0), Masterdata!$B$4&lt;$E36),
            AND(Masterdata!$B$3&lt;&gt;DATE(1900,1,0), Masterdata!$B$3&gt;$E36)
        ),
        0, $X$7/(5-H36)))</f>
        <v>0.30833333333333335</v>
      </c>
      <c r="H36" s="86">
        <f>SUMPRODUCT(COUNTIFS(November!$A$9:$A$39,$A36,November!$D$9:$D$39,"&lt;7",November!$F$9:$F$39,"F")+COUNTIFS($A$9:$A$38,$A36,$D$9:$D$38,"&lt;7",$F$9:$F$38,"F"))</f>
        <v>0</v>
      </c>
      <c r="I36" s="11">
        <v>0</v>
      </c>
      <c r="J36" s="11">
        <v>0</v>
      </c>
      <c r="K36" s="11">
        <v>0</v>
      </c>
      <c r="L36" s="26" t="str">
        <f t="shared" si="12"/>
        <v>07:24</v>
      </c>
      <c r="M36" s="26" t="str">
        <f>IF(OR(F36="N",F36="F"),"0:00",
IF(
OR(
AND(Masterdata!$B$4&lt;&gt;DATE(1900,1,0),Masterdata!$B$4&lt;$E36),
AND(Masterdata!$B$3&lt;&gt;DATE(1900,1,0),Masterdata!$B$3&gt;$E36)
),"0:00",
IF(
$I36&gt;TIME(0,0,0),
IF(
NOT(OR($C36="mandag",$C36="tirsdag",$C36="onsdag",$C36="torsdag",$C36="fredag")),
TEXT($I36,"[tt]:mm"),
IF($I36-$G36&gt;=0,TEXT($I36-$G36,"[tt]:mm"),"-"&amp;TEXT(ABS($I36-$G36),"[tt]:mm"))
),
IF(
NOT(OR($C36="mandag",$C36="tirsdag",$C36="onsdag",$C36="torsdag",$C36="fredag")),
IF($K36-$J36&gt;=0,TEXT($K36-$J36,"[tt]:mm"),"-"&amp;TEXT(ABS($K36-$J36),"[tt]:mm")),
IF(
$K36-$J36-$G36&gt;=0,
TEXT($K36-$J36-$G36,"[tt]:mm"),
"-"&amp;TEXT(ABS($K36-$J36-$G36),"[tt]:mm")
)
)
)
))</f>
        <v>0:00</v>
      </c>
      <c r="N36" s="71" t="str">
        <f t="shared" si="15"/>
        <v>0</v>
      </c>
      <c r="O36" s="25" t="str">
        <f t="shared" si="5"/>
        <v>0:</v>
      </c>
      <c r="P36" s="52" t="str">
        <f t="shared" si="6"/>
        <v>0</v>
      </c>
      <c r="Q36" s="53">
        <f t="shared" si="16"/>
        <v>0</v>
      </c>
      <c r="R36" s="30">
        <f t="shared" si="17"/>
        <v>0</v>
      </c>
      <c r="S36" s="98"/>
      <c r="T36" s="98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</row>
    <row r="37" spans="1:45" x14ac:dyDescent="0.3">
      <c r="A37" s="7">
        <f t="shared" si="2"/>
        <v>53</v>
      </c>
      <c r="B37" s="8">
        <f t="shared" si="9"/>
        <v>46385</v>
      </c>
      <c r="C37" s="9" t="str" cm="1">
        <f t="array" ref="C37">_xlfn.XLOOKUP(E37,Masterdata!$B$31:$B$44,Masterdata!$A$31:$A$44,_xlfn.SWITCH(WEEKDAY($D37, 2), 1, "mandag", 2, "tirsdag", 3, "onsdag", 4, "torsdag", 5, "fredag", 6, "lørdag", 7, "søndag"),0)</f>
        <v>tirsdag</v>
      </c>
      <c r="D37" s="29">
        <f t="shared" si="0"/>
        <v>3</v>
      </c>
      <c r="E37" s="70">
        <f t="shared" si="3"/>
        <v>46385</v>
      </c>
      <c r="F37" s="10" t="s">
        <v>23</v>
      </c>
      <c r="G37" s="12">
        <f>IF(OR(AND(F37="N",NOT(OR(C37="mandag",C37="tirsdag",C37="onsdag",C37="torsdag",C37="fredag"))),F37="F"),0,
        IF(OR(
            AND(Masterdata!$B$4&lt;&gt;DATE(1900,1,0), Masterdata!$B$4&lt;$E37),
            AND(Masterdata!$B$3&lt;&gt;DATE(1900,1,0), Masterdata!$B$3&gt;$E37)
        ),
        0, $X$7/(5-H37)))</f>
        <v>0.30833333333333335</v>
      </c>
      <c r="H37" s="86">
        <f>SUMPRODUCT(COUNTIFS(November!$A$9:$A$39,$A37,November!$D$9:$D$39,"&lt;7",November!$F$9:$F$39,"F")+COUNTIFS($A$9:$A$38,$A37,$D$9:$D$38,"&lt;7",$F$9:$F$38,"F"))</f>
        <v>0</v>
      </c>
      <c r="I37" s="11">
        <v>0</v>
      </c>
      <c r="J37" s="11">
        <v>0</v>
      </c>
      <c r="K37" s="11">
        <v>0</v>
      </c>
      <c r="L37" s="26" t="str">
        <f t="shared" si="12"/>
        <v>07:24</v>
      </c>
      <c r="M37" s="26" t="str">
        <f>IF(OR(F37="N",F37="F"),"0:00",
IF(
OR(
AND(Masterdata!$B$4&lt;&gt;DATE(1900,1,0),Masterdata!$B$4&lt;$E37),
AND(Masterdata!$B$3&lt;&gt;DATE(1900,1,0),Masterdata!$B$3&gt;$E37)
),"0:00",
IF(
$I37&gt;TIME(0,0,0),
IF(
NOT(OR($C37="mandag",$C37="tirsdag",$C37="onsdag",$C37="torsdag",$C37="fredag")),
TEXT($I37,"[tt]:mm"),
IF($I37-$G37&gt;=0,TEXT($I37-$G37,"[tt]:mm"),"-"&amp;TEXT(ABS($I37-$G37),"[tt]:mm"))
),
IF(
NOT(OR($C37="mandag",$C37="tirsdag",$C37="onsdag",$C37="torsdag",$C37="fredag")),
IF($K37-$J37&gt;=0,TEXT($K37-$J37,"[tt]:mm"),"-"&amp;TEXT(ABS($K37-$J37),"[tt]:mm")),
IF(
$K37-$J37-$G37&gt;=0,
TEXT($K37-$J37-$G37,"[tt]:mm"),
"-"&amp;TEXT(ABS($K37-$J37-$G37),"[tt]:mm")
)
)
)
))</f>
        <v>0:00</v>
      </c>
      <c r="N37" s="71" t="str">
        <f t="shared" si="15"/>
        <v>0</v>
      </c>
      <c r="O37" s="25" t="str">
        <f t="shared" si="5"/>
        <v>0:</v>
      </c>
      <c r="P37" s="52" t="str">
        <f t="shared" si="6"/>
        <v>0</v>
      </c>
      <c r="Q37" s="53">
        <f t="shared" si="16"/>
        <v>0</v>
      </c>
      <c r="R37" s="30">
        <f t="shared" si="17"/>
        <v>0</v>
      </c>
      <c r="S37" s="98"/>
      <c r="T37" s="98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</row>
    <row r="38" spans="1:45" x14ac:dyDescent="0.3">
      <c r="A38" s="7">
        <f t="shared" si="2"/>
        <v>53</v>
      </c>
      <c r="B38" s="8">
        <f t="shared" si="9"/>
        <v>46386</v>
      </c>
      <c r="C38" s="9" t="str" cm="1">
        <f t="array" ref="C38">_xlfn.XLOOKUP(E38,Masterdata!$B$31:$B$44,Masterdata!$A$31:$A$44,_xlfn.SWITCH(WEEKDAY($D38, 2), 1, "mandag", 2, "tirsdag", 3, "onsdag", 4, "torsdag", 5, "fredag", 6, "lørdag", 7, "søndag"),0)</f>
        <v>onsdag</v>
      </c>
      <c r="D38" s="29">
        <f t="shared" si="0"/>
        <v>4</v>
      </c>
      <c r="E38" s="70">
        <f t="shared" si="3"/>
        <v>46386</v>
      </c>
      <c r="F38" s="10" t="s">
        <v>23</v>
      </c>
      <c r="G38" s="12">
        <f>IF(OR(AND(F38="N",NOT(OR(C38="mandag",C38="tirsdag",C38="onsdag",C38="torsdag",C38="fredag"))),F38="F"),0,
        IF(OR(
            AND(Masterdata!$B$4&lt;&gt;DATE(1900,1,0), Masterdata!$B$4&lt;$E38),
            AND(Masterdata!$B$3&lt;&gt;DATE(1900,1,0), Masterdata!$B$3&gt;$E38)
        ),
        0, $X$7/(5-H38)))</f>
        <v>0.30833333333333335</v>
      </c>
      <c r="H38" s="86">
        <f>SUMPRODUCT(COUNTIFS(November!$A$9:$A$39,$A38,November!$D$9:$D$39,"&lt;7",November!$F$9:$F$39,"F")+COUNTIFS($A$9:$A$38,$A38,$D$9:$D$38,"&lt;7",$F$9:$F$38,"F"))</f>
        <v>0</v>
      </c>
      <c r="I38" s="11">
        <v>0</v>
      </c>
      <c r="J38" s="11">
        <v>0</v>
      </c>
      <c r="K38" s="11">
        <v>0</v>
      </c>
      <c r="L38" s="26" t="str">
        <f t="shared" si="12"/>
        <v>07:24</v>
      </c>
      <c r="M38" s="26" t="str">
        <f>IF(OR(F38="N",F38="F"),"0:00",
IF(
OR(
AND(Masterdata!$B$4&lt;&gt;DATE(1900,1,0),Masterdata!$B$4&lt;$E38),
AND(Masterdata!$B$3&lt;&gt;DATE(1900,1,0),Masterdata!$B$3&gt;$E38)
),"0:00",
IF(
$I38&gt;TIME(0,0,0),
IF(
NOT(OR($C38="mandag",$C38="tirsdag",$C38="onsdag",$C38="torsdag",$C38="fredag")),
TEXT($I38,"[tt]:mm"),
IF($I38-$G38&gt;=0,TEXT($I38-$G38,"[tt]:mm"),"-"&amp;TEXT(ABS($I38-$G38),"[tt]:mm"))
),
IF(
NOT(OR($C38="mandag",$C38="tirsdag",$C38="onsdag",$C38="torsdag",$C38="fredag")),
IF($K38-$J38&gt;=0,TEXT($K38-$J38,"[tt]:mm"),"-"&amp;TEXT(ABS($K38-$J38),"[tt]:mm")),
IF(
$K38-$J38-$G38&gt;=0,
TEXT($K38-$J38-$G38,"[tt]:mm"),
"-"&amp;TEXT(ABS($K38-$J38-$G38),"[tt]:mm")
)
)
)
))</f>
        <v>0:00</v>
      </c>
      <c r="N38" s="71" t="str">
        <f t="shared" si="15"/>
        <v>0</v>
      </c>
      <c r="O38" s="25" t="str">
        <f t="shared" si="5"/>
        <v>0:</v>
      </c>
      <c r="P38" s="52" t="str">
        <f t="shared" si="6"/>
        <v>0</v>
      </c>
      <c r="Q38" s="53">
        <f t="shared" si="16"/>
        <v>0</v>
      </c>
      <c r="R38" s="30">
        <f t="shared" si="17"/>
        <v>0</v>
      </c>
      <c r="S38" s="98"/>
      <c r="T38" s="98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</row>
    <row r="39" spans="1:45" x14ac:dyDescent="0.3">
      <c r="A39" s="7">
        <f t="shared" si="2"/>
        <v>53</v>
      </c>
      <c r="B39" s="8">
        <f t="shared" si="9"/>
        <v>46387</v>
      </c>
      <c r="C39" s="9" t="str" cm="1">
        <f t="array" ref="C39">_xlfn.XLOOKUP(E39,Masterdata!$B$31:$B$44,Masterdata!$A$31:$A$44,_xlfn.SWITCH(WEEKDAY($D39, 2), 1, "mandag", 2, "tirsdag", 3, "onsdag", 4, "torsdag", 5, "fredag", 6, "lørdag", 7, "søndag"),0)</f>
        <v>nytårsaftens dag</v>
      </c>
      <c r="D39" s="29">
        <f t="shared" si="0"/>
        <v>5</v>
      </c>
      <c r="E39" s="70">
        <f t="shared" si="3"/>
        <v>46387</v>
      </c>
      <c r="F39" s="10" t="s">
        <v>23</v>
      </c>
      <c r="G39" s="12">
        <f>IF(OR(AND(F39="N",NOT(OR(C39="mandag",C39="tirsdag",C39="onsdag",C39="torsdag",C39="fredag"))),F39="F"),0,
        IF(OR(
            AND(Masterdata!$B$4&lt;&gt;DATE(1900,1,0), Masterdata!$B$4&lt;$E39),
            AND(Masterdata!$B$3&lt;&gt;DATE(1900,1,0), Masterdata!$B$3&gt;$E39)
        ),
        0, $X$7/(5-H39)))</f>
        <v>0</v>
      </c>
      <c r="H39" s="86">
        <f>SUMPRODUCT(COUNTIFS(November!$A$9:$A$39,$A39,November!$D$9:$D$39,"&lt;7",November!$F$9:$F$39,"F")+COUNTIFS($A$9:$A$38,$A39,$D$9:$D$38,"&lt;7",$F$9:$F$38,"F"))</f>
        <v>0</v>
      </c>
      <c r="I39" s="11">
        <v>0</v>
      </c>
      <c r="J39" s="11">
        <v>0</v>
      </c>
      <c r="K39" s="11">
        <v>0</v>
      </c>
      <c r="L39" s="26" t="str">
        <f t="shared" si="12"/>
        <v>00:00</v>
      </c>
      <c r="M39" s="26" t="str">
        <f>IF(OR(F39="N",F39="F"),"0:00",
IF(
OR(
AND(Masterdata!$B$4&lt;&gt;DATE(1900,1,0),Masterdata!$B$4&lt;$E39),
AND(Masterdata!$B$3&lt;&gt;DATE(1900,1,0),Masterdata!$B$3&gt;$E39)
),"0:00",
IF(
$I39&gt;TIME(0,0,0),
IF(
NOT(OR($C39="mandag",$C39="tirsdag",$C39="onsdag",$C39="torsdag",$C39="fredag")),
TEXT($I39,"[tt]:mm"),
IF($I39-$G39&gt;=0,TEXT($I39-$G39,"[tt]:mm"),"-"&amp;TEXT(ABS($I39-$G39),"[tt]:mm"))
),
IF(
NOT(OR($C39="mandag",$C39="tirsdag",$C39="onsdag",$C39="torsdag",$C39="fredag")),
IF($K39-$J39&gt;=0,TEXT($K39-$J39,"[tt]:mm"),"-"&amp;TEXT(ABS($K39-$J39),"[tt]:mm")),
IF(
$K39-$J39-$G39&gt;=0,
TEXT($K39-$J39-$G39,"[tt]:mm"),
"-"&amp;TEXT(ABS($K39-$J39-$G39),"[tt]:mm")
)
)
)
))</f>
        <v>0:00</v>
      </c>
      <c r="N39" s="71" t="str">
        <f t="shared" si="15"/>
        <v>0</v>
      </c>
      <c r="O39" s="25" t="str">
        <f t="shared" si="5"/>
        <v>0:</v>
      </c>
      <c r="P39" s="52" t="str">
        <f t="shared" si="6"/>
        <v>0</v>
      </c>
      <c r="Q39" s="53">
        <f t="shared" si="16"/>
        <v>0</v>
      </c>
      <c r="R39" s="30">
        <f t="shared" si="17"/>
        <v>0</v>
      </c>
      <c r="S39" s="98"/>
      <c r="T39" s="98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</row>
    <row r="40" spans="1:45" x14ac:dyDescent="0.3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73"/>
      <c r="N40" s="29"/>
      <c r="O40" s="29"/>
      <c r="P40" s="29"/>
      <c r="Q40" s="29"/>
      <c r="R40" s="30">
        <f>SUM(R9:R39)</f>
        <v>0</v>
      </c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</row>
    <row r="41" spans="1:45" x14ac:dyDescent="0.3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</row>
    <row r="42" spans="1:45" x14ac:dyDescent="0.3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</row>
    <row r="43" spans="1:45" x14ac:dyDescent="0.3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</row>
    <row r="44" spans="1:45" x14ac:dyDescent="0.3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</row>
    <row r="45" spans="1:45" x14ac:dyDescent="0.3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</row>
    <row r="46" spans="1:45" x14ac:dyDescent="0.3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</row>
    <row r="47" spans="1:45" x14ac:dyDescent="0.3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</row>
    <row r="48" spans="1:45" x14ac:dyDescent="0.3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</row>
    <row r="49" spans="1:45" x14ac:dyDescent="0.3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</row>
    <row r="50" spans="1:45" x14ac:dyDescent="0.3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</row>
    <row r="51" spans="1:45" x14ac:dyDescent="0.3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</row>
    <row r="52" spans="1:45" x14ac:dyDescent="0.3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</row>
    <row r="53" spans="1:45" x14ac:dyDescent="0.3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</row>
    <row r="54" spans="1:45" x14ac:dyDescent="0.3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</row>
    <row r="55" spans="1:45" x14ac:dyDescent="0.3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</row>
    <row r="56" spans="1:45" x14ac:dyDescent="0.3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</row>
    <row r="57" spans="1:45" x14ac:dyDescent="0.3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</row>
    <row r="58" spans="1:45" x14ac:dyDescent="0.3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</row>
    <row r="59" spans="1:45" x14ac:dyDescent="0.3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</row>
    <row r="60" spans="1:45" x14ac:dyDescent="0.3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</row>
    <row r="61" spans="1:45" x14ac:dyDescent="0.3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</row>
    <row r="62" spans="1:45" x14ac:dyDescent="0.3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</row>
    <row r="63" spans="1:45" x14ac:dyDescent="0.3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</row>
    <row r="64" spans="1:45" x14ac:dyDescent="0.3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</row>
    <row r="65" spans="1:45" x14ac:dyDescent="0.3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</row>
    <row r="66" spans="1:45" x14ac:dyDescent="0.3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</row>
    <row r="67" spans="1:45" x14ac:dyDescent="0.3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</row>
    <row r="68" spans="1:45" x14ac:dyDescent="0.3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</row>
    <row r="69" spans="1:45" x14ac:dyDescent="0.3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</row>
    <row r="70" spans="1:45" x14ac:dyDescent="0.3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</row>
    <row r="71" spans="1:45" x14ac:dyDescent="0.3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</row>
    <row r="72" spans="1:45" x14ac:dyDescent="0.3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</row>
    <row r="73" spans="1:45" x14ac:dyDescent="0.3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</row>
    <row r="74" spans="1:45" x14ac:dyDescent="0.3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</row>
    <row r="75" spans="1:45" x14ac:dyDescent="0.3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</row>
    <row r="76" spans="1:45" x14ac:dyDescent="0.3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</row>
    <row r="77" spans="1:45" x14ac:dyDescent="0.3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</row>
    <row r="78" spans="1:45" x14ac:dyDescent="0.3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</row>
  </sheetData>
  <sheetProtection algorithmName="SHA-512" hashValue="GgAKXLzxKnDjz+rYM8+mA5tEbAAAMhIJvffJRtCMPaDJE9hooDzQmHKXiCThV3dl6Mpyeygg5Gx9pWmcKBfokw==" saltValue="ftI6VqbKDFCl18qrvETkXg==" spinCount="100000" sheet="1" objects="1" scenarios="1"/>
  <mergeCells count="37">
    <mergeCell ref="S14:T14"/>
    <mergeCell ref="S2:T2"/>
    <mergeCell ref="S3:T3"/>
    <mergeCell ref="S4:T4"/>
    <mergeCell ref="S5:T5"/>
    <mergeCell ref="S6:T6"/>
    <mergeCell ref="S8:T8"/>
    <mergeCell ref="S9:T9"/>
    <mergeCell ref="S10:T10"/>
    <mergeCell ref="S11:T11"/>
    <mergeCell ref="S12:T12"/>
    <mergeCell ref="S13:T13"/>
    <mergeCell ref="S26:T26"/>
    <mergeCell ref="S15:T15"/>
    <mergeCell ref="S16:T16"/>
    <mergeCell ref="S17:T17"/>
    <mergeCell ref="S18:T18"/>
    <mergeCell ref="S19:T19"/>
    <mergeCell ref="S20:T20"/>
    <mergeCell ref="S21:T21"/>
    <mergeCell ref="S22:T22"/>
    <mergeCell ref="S23:T23"/>
    <mergeCell ref="S24:T24"/>
    <mergeCell ref="S25:T25"/>
    <mergeCell ref="S39:T39"/>
    <mergeCell ref="S34:T34"/>
    <mergeCell ref="S27:T27"/>
    <mergeCell ref="S28:T28"/>
    <mergeCell ref="S29:T29"/>
    <mergeCell ref="S30:T30"/>
    <mergeCell ref="S31:T31"/>
    <mergeCell ref="S32:T32"/>
    <mergeCell ref="S33:T33"/>
    <mergeCell ref="S35:T35"/>
    <mergeCell ref="S36:T36"/>
    <mergeCell ref="S37:T37"/>
    <mergeCell ref="S38:T38"/>
  </mergeCells>
  <conditionalFormatting sqref="A9:H39">
    <cfRule type="expression" dxfId="4" priority="1">
      <formula>$F9="F"</formula>
    </cfRule>
    <cfRule type="expression" dxfId="3" priority="3">
      <formula>OR(NOT(OR($C9="mandag", $C9="tirsdag",$C9="onsdag",$C9="torsdag",$C9="fredag")),$F9="F")</formula>
    </cfRule>
  </conditionalFormatting>
  <conditionalFormatting sqref="G9:H39">
    <cfRule type="expression" dxfId="2" priority="5">
      <formula>AND($F9="N", (OR($C9="mandag", $C9="tirsdag",$C9="onsdag",$C9="torsdag",$C9="fredag")))</formula>
    </cfRule>
  </conditionalFormatting>
  <conditionalFormatting sqref="I9:K39">
    <cfRule type="expression" dxfId="1" priority="2">
      <formula>OR($F9="N",$F9="F")</formula>
    </cfRule>
    <cfRule type="expression" dxfId="0" priority="4">
      <formula>$F9="R"</formula>
    </cfRule>
  </conditionalFormatting>
  <dataValidations count="2">
    <dataValidation type="list" allowBlank="1" showInputMessage="1" showErrorMessage="1" sqref="F9:F39" xr:uid="{1492A3D9-1A55-4588-8393-712C04E3B2DA}">
      <formula1>IF($B$2,$M$3:$M$5,$M$4:$M$5)</formula1>
    </dataValidation>
    <dataValidation type="time" allowBlank="1" showInputMessage="1" showErrorMessage="1" sqref="I9:K39" xr:uid="{8FA4CA45-B2F7-41CA-AA65-2FB5A091F7C1}">
      <formula1>0</formula1>
      <formula2>0.999305555555556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ED8BD-9063-4578-BE27-BEEB4268AA1A}">
  <dimension ref="A1:AS78"/>
  <sheetViews>
    <sheetView zoomScale="70" zoomScaleNormal="70" workbookViewId="0">
      <selection activeCell="H1" sqref="H1:H1048576"/>
    </sheetView>
  </sheetViews>
  <sheetFormatPr defaultRowHeight="14.4" outlineLevelCol="1" x14ac:dyDescent="0.3"/>
  <cols>
    <col min="1" max="1" width="15.5546875" customWidth="1"/>
    <col min="2" max="2" width="14.109375" customWidth="1"/>
    <col min="3" max="3" width="16.6640625" customWidth="1"/>
    <col min="4" max="4" width="15" hidden="1" customWidth="1"/>
    <col min="5" max="5" width="12.88671875" hidden="1" customWidth="1"/>
    <col min="6" max="6" width="13.5546875" bestFit="1" customWidth="1"/>
    <col min="7" max="7" width="16.33203125" bestFit="1" customWidth="1"/>
    <col min="8" max="8" width="24.109375" hidden="1" customWidth="1"/>
    <col min="9" max="9" width="17.88671875" customWidth="1"/>
    <col min="10" max="11" width="11.33203125" customWidth="1"/>
    <col min="12" max="12" width="18.6640625" customWidth="1"/>
    <col min="13" max="13" width="11.5546875" customWidth="1"/>
    <col min="14" max="15" width="11.109375" hidden="1" customWidth="1" outlineLevel="1"/>
    <col min="16" max="16" width="7.6640625" hidden="1" customWidth="1" outlineLevel="1"/>
    <col min="17" max="18" width="7.5546875" hidden="1" customWidth="1" outlineLevel="1"/>
    <col min="19" max="19" width="53.44140625" customWidth="1" collapsed="1"/>
    <col min="20" max="20" width="29.44140625" customWidth="1"/>
    <col min="21" max="21" width="9.109375" hidden="1" customWidth="1" outlineLevel="1"/>
    <col min="22" max="22" width="24.6640625" hidden="1" customWidth="1" outlineLevel="1"/>
    <col min="23" max="23" width="43" hidden="1" customWidth="1" outlineLevel="1"/>
    <col min="24" max="24" width="14" hidden="1" customWidth="1" outlineLevel="1"/>
    <col min="25" max="25" width="19.44140625" customWidth="1" outlineLevel="1"/>
  </cols>
  <sheetData>
    <row r="1" spans="1:45" ht="16.5" customHeight="1" thickBot="1" x14ac:dyDescent="0.35">
      <c r="A1" s="14" t="s">
        <v>102</v>
      </c>
      <c r="B1" s="15">
        <v>37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</row>
    <row r="2" spans="1:45" ht="36" customHeight="1" x14ac:dyDescent="0.3">
      <c r="A2" s="39" t="s">
        <v>130</v>
      </c>
      <c r="B2" s="91" t="b">
        <v>0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48" t="s">
        <v>21</v>
      </c>
      <c r="N2" s="67"/>
      <c r="O2" s="67"/>
      <c r="P2" s="67"/>
      <c r="Q2" s="67"/>
      <c r="R2" s="67"/>
      <c r="S2" s="99" t="s">
        <v>22</v>
      </c>
      <c r="T2" s="100"/>
      <c r="U2" s="45"/>
      <c r="W2" s="45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</row>
    <row r="3" spans="1:45" ht="33.75" customHeight="1" x14ac:dyDescent="0.3">
      <c r="A3" s="38" t="s">
        <v>59</v>
      </c>
      <c r="B3" s="68" t="str">
        <f ca="1">Masterdata!$D$27</f>
        <v>00:00</v>
      </c>
      <c r="C3" s="46"/>
      <c r="D3" s="29"/>
      <c r="E3" s="29"/>
      <c r="F3" s="29"/>
      <c r="G3" s="29"/>
      <c r="H3" s="29"/>
      <c r="I3" s="29"/>
      <c r="J3" s="29"/>
      <c r="K3" s="88"/>
      <c r="L3" s="46"/>
      <c r="M3" s="89" t="s">
        <v>49</v>
      </c>
      <c r="N3" s="29"/>
      <c r="O3" s="29"/>
      <c r="P3" s="29"/>
      <c r="Q3" s="29"/>
      <c r="R3" s="29"/>
      <c r="S3" s="101" t="s">
        <v>131</v>
      </c>
      <c r="T3" s="102"/>
      <c r="U3" s="45"/>
      <c r="V3" s="45"/>
      <c r="W3" s="45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</row>
    <row r="4" spans="1:45" ht="28.8" x14ac:dyDescent="0.3">
      <c r="A4" s="39" t="s">
        <v>63</v>
      </c>
      <c r="B4" s="68" t="str">
        <f>IF(R40&lt;0,"-"&amp;TEXT(ABS(R40/24),"[tt]:mm"),TEXT(R40/24,"[tt]:mm"))</f>
        <v>00:00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35" t="s">
        <v>23</v>
      </c>
      <c r="N4" s="29"/>
      <c r="O4" s="29"/>
      <c r="P4" s="29"/>
      <c r="Q4" s="29"/>
      <c r="R4" s="29"/>
      <c r="S4" s="101" t="s">
        <v>24</v>
      </c>
      <c r="T4" s="102"/>
      <c r="U4" s="46"/>
      <c r="V4" s="46"/>
      <c r="W4" s="46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</row>
    <row r="5" spans="1:45" ht="59.1" customHeight="1" x14ac:dyDescent="0.3">
      <c r="A5" s="17" t="s">
        <v>2</v>
      </c>
      <c r="B5" s="40">
        <f>Masterdata!$B$5</f>
        <v>2026</v>
      </c>
      <c r="C5" s="29"/>
      <c r="D5" s="29"/>
      <c r="E5" s="29"/>
      <c r="F5" s="29"/>
      <c r="G5" s="29"/>
      <c r="H5" s="29"/>
      <c r="I5" s="29"/>
      <c r="J5" s="29"/>
      <c r="K5" s="29"/>
      <c r="L5" s="29"/>
      <c r="M5" s="35" t="s">
        <v>25</v>
      </c>
      <c r="N5" s="29"/>
      <c r="O5" s="29"/>
      <c r="P5" s="29"/>
      <c r="Q5" s="29"/>
      <c r="R5" s="29"/>
      <c r="S5" s="103" t="s">
        <v>120</v>
      </c>
      <c r="T5" s="104"/>
      <c r="U5" s="47"/>
      <c r="V5" s="47"/>
      <c r="W5" s="47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</row>
    <row r="6" spans="1:45" ht="15" thickBot="1" x14ac:dyDescent="0.35">
      <c r="A6" s="13" t="s">
        <v>20</v>
      </c>
      <c r="B6" s="18">
        <f>B9</f>
        <v>46023</v>
      </c>
      <c r="C6" s="29"/>
      <c r="D6" s="29"/>
      <c r="E6" s="29"/>
      <c r="F6" s="29"/>
      <c r="G6" s="29"/>
      <c r="H6" s="29"/>
      <c r="I6" s="29"/>
      <c r="J6" s="29"/>
      <c r="K6" s="29"/>
      <c r="L6" s="29"/>
      <c r="M6" s="36" t="s">
        <v>26</v>
      </c>
      <c r="N6" s="69"/>
      <c r="O6" s="69"/>
      <c r="P6" s="69"/>
      <c r="Q6" s="69"/>
      <c r="R6" s="69"/>
      <c r="S6" s="105" t="s">
        <v>27</v>
      </c>
      <c r="T6" s="106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</row>
    <row r="7" spans="1:45" ht="15" thickBot="1" x14ac:dyDescent="0.35">
      <c r="A7" s="29"/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87">
        <f>$B$1/24</f>
        <v>1.5416666666666667</v>
      </c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</row>
    <row r="8" spans="1:45" ht="21.75" customHeight="1" thickBot="1" x14ac:dyDescent="0.35">
      <c r="A8" s="4" t="s">
        <v>28</v>
      </c>
      <c r="B8" s="5" t="s">
        <v>29</v>
      </c>
      <c r="C8" s="5" t="s">
        <v>30</v>
      </c>
      <c r="D8" s="5" t="s">
        <v>31</v>
      </c>
      <c r="E8" s="5" t="s">
        <v>32</v>
      </c>
      <c r="F8" s="5" t="s">
        <v>21</v>
      </c>
      <c r="G8" s="5" t="s">
        <v>102</v>
      </c>
      <c r="H8" s="5" t="s">
        <v>129</v>
      </c>
      <c r="I8" s="5" t="s">
        <v>33</v>
      </c>
      <c r="J8" s="6" t="s">
        <v>34</v>
      </c>
      <c r="K8" s="6" t="s">
        <v>35</v>
      </c>
      <c r="L8" s="6" t="s">
        <v>103</v>
      </c>
      <c r="M8" s="5" t="s">
        <v>36</v>
      </c>
      <c r="N8" s="22" t="s">
        <v>37</v>
      </c>
      <c r="O8" s="23" t="s">
        <v>38</v>
      </c>
      <c r="P8" s="23" t="s">
        <v>39</v>
      </c>
      <c r="Q8" s="23"/>
      <c r="R8" s="29"/>
      <c r="S8" s="107" t="s">
        <v>40</v>
      </c>
      <c r="T8" s="108"/>
      <c r="U8" s="29"/>
      <c r="V8" s="29"/>
      <c r="W8" s="29" t="s">
        <v>41</v>
      </c>
      <c r="X8" s="29">
        <v>5</v>
      </c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</row>
    <row r="9" spans="1:45" x14ac:dyDescent="0.3">
      <c r="A9" s="7">
        <f>WEEKNUM($B9,21)</f>
        <v>1</v>
      </c>
      <c r="B9" s="8">
        <f>DATE(Masterdata!$B$5,1,1)</f>
        <v>46023</v>
      </c>
      <c r="C9" s="9" t="str" cm="1">
        <f t="array" ref="C9">_xlfn.XLOOKUP(E9,Masterdata!$B$31:$B$44,Masterdata!$A$31:$A$44,_xlfn.SWITCH(WEEKDAY($D9, 2), 1, "mandag", 2, "tirsdag", 3, "onsdag", 4, "torsdag", 5, "fredag", 6, "lørdag", 7, "søndag"),0)</f>
        <v>nytårsdag</v>
      </c>
      <c r="D9" s="29">
        <f t="shared" ref="D9:D39" si="0">WEEKDAY($B9, 2)+1</f>
        <v>5</v>
      </c>
      <c r="E9" s="70">
        <f>$B9</f>
        <v>46023</v>
      </c>
      <c r="F9" s="10" t="s">
        <v>23</v>
      </c>
      <c r="G9" s="12">
        <f>IF(OR(AND(F9="N",NOT(OR(C9="mandag",C9="tirsdag",C9="onsdag",C9="torsdag",C9="fredag"))),F9="F"),0,
        IF(OR(
            AND(Masterdata!$B$4&lt;&gt;DATE(1900,1,0), Masterdata!$B$4&lt;$E9),
            AND(Masterdata!$B$3&lt;&gt;DATE(1900,1,0), Masterdata!$B$3&gt;$E9)
        ),
        0, $X$7/(5-H9)))</f>
        <v>0</v>
      </c>
      <c r="H9" s="86">
        <f>SUMPRODUCT(COUNTIFS($A$9:$A$38,$A10,$D$9:$D$38,"&lt;7",$F$9:$F$38,"F")+COUNTIFS(Februar!$A$9:$A$39,$A10,Februar!$D$9:$D$39,"&lt;7",Februar!$F$9:$F$39,"F"))</f>
        <v>0</v>
      </c>
      <c r="I9" s="11">
        <v>0</v>
      </c>
      <c r="J9" s="11">
        <v>0</v>
      </c>
      <c r="K9" s="11">
        <v>0</v>
      </c>
      <c r="L9" s="26" t="str">
        <f t="shared" ref="L9:L15" si="1">IF($F9="F","00:00",
IF($F9="N",TEXT($G9,"[tt]:mm"),
IF($I9&lt;&gt;0,TEXT($I9,"[tt]:mm"),
IF($K9-$J9&gt;=0,
TEXT($K9-$J9,"[tt]:mm"),
"-"&amp;TEXT(ABS($K9-$J9),"[tt]:mm")))))</f>
        <v>00:00</v>
      </c>
      <c r="M9" s="26" t="str">
        <f>IF(OR(F9="N",F9="F"),"0:00",
IF(
OR(
AND(Masterdata!$B$4&lt;&gt;DATE(1900,1,0),Masterdata!$B$4&lt;$E9),
AND(Masterdata!$B$3&lt;&gt;DATE(1900,1,0),Masterdata!$B$3&gt;$E9)
),"0:00",
IF(
$I9&gt;TIME(0,0,0),
IF(
NOT(OR($C9="mandag",$C9="tirsdag",$C9="onsdag",$C9="torsdag",$C9="fredag")),
TEXT($I9,"[tt]:mm"),
IF($I9-$G9&gt;=0,TEXT($I9-$G9,"[tt]:mm"),"-"&amp;TEXT(ABS($I9-$G9),"[tt]:mm"))
),
IF(
NOT(OR($C9="mandag",$C9="tirsdag",$C9="onsdag",$C9="torsdag",$C9="fredag")),
IF($K9-$J9&gt;=0,TEXT($K9-$J9,"[tt]:mm"),"-"&amp;TEXT(ABS($K9-$J9),"[tt]:mm")),
IF(
$K9-$J9-$G9&gt;=0,
TEXT($K9-$J9-$G9,"[tt]:mm"),
"-"&amp;TEXT(ABS($K9-$J9-$G9),"[tt]:mm")
)
)
)
))</f>
        <v>0:00</v>
      </c>
      <c r="N9" s="71" t="str">
        <f>LEFT(M9,1)</f>
        <v>0</v>
      </c>
      <c r="O9" s="25" t="str">
        <f>IF($N9="-",LEFT($M9,3),LEFT($M9,2))</f>
        <v>0:</v>
      </c>
      <c r="P9" s="52" t="str">
        <f>IF($N9="-",MID($M9,5,2),MID($M9,4,2))</f>
        <v>0</v>
      </c>
      <c r="Q9" s="53">
        <f>P9/60</f>
        <v>0</v>
      </c>
      <c r="R9" s="30">
        <f>IF(N9="-",O9-Q9,O9+Q9)</f>
        <v>0</v>
      </c>
      <c r="S9" s="109"/>
      <c r="T9" s="109"/>
      <c r="U9" s="29"/>
      <c r="V9" s="29"/>
      <c r="W9" s="29" t="s">
        <v>42</v>
      </c>
      <c r="X9" s="72">
        <f>$B$1/X8</f>
        <v>7.4</v>
      </c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</row>
    <row r="10" spans="1:45" x14ac:dyDescent="0.3">
      <c r="A10" s="7">
        <f t="shared" ref="A10:A39" si="2">WEEKNUM($B10,21)</f>
        <v>1</v>
      </c>
      <c r="B10" s="8">
        <f>B9+1</f>
        <v>46024</v>
      </c>
      <c r="C10" s="9" t="str" cm="1">
        <f t="array" ref="C10">_xlfn.XLOOKUP(E10,Masterdata!$B$31:$B$44,Masterdata!$A$31:$A$44,_xlfn.SWITCH(WEEKDAY($D10, 2), 1, "mandag", 2, "tirsdag", 3, "onsdag", 4, "torsdag", 5, "fredag", 6, "lørdag", 7, "søndag"),0)</f>
        <v>fredag</v>
      </c>
      <c r="D10" s="29">
        <f t="shared" si="0"/>
        <v>6</v>
      </c>
      <c r="E10" s="70">
        <f t="shared" ref="E10:E39" si="3">$B10</f>
        <v>46024</v>
      </c>
      <c r="F10" s="10" t="s">
        <v>23</v>
      </c>
      <c r="G10" s="12">
        <f>IF(OR(AND(F10="N",NOT(OR(C10="mandag",C10="tirsdag",C10="onsdag",C10="torsdag",C10="fredag"))),F10="F"),0,
        IF(OR(
            AND(Masterdata!$B$4&lt;&gt;DATE(1900,1,0), Masterdata!$B$4&lt;$E10),
            AND(Masterdata!$B$3&lt;&gt;DATE(1900,1,0), Masterdata!$B$3&gt;$E10)
        ),
        0, $X$7/(5-H10)))</f>
        <v>0.30833333333333335</v>
      </c>
      <c r="H10" s="86">
        <f>SUMPRODUCT(COUNTIFS($A$9:$A$38,$A11,$D$9:$D$38,"&lt;7",$F$9:$F$38,"F")+COUNTIFS(Februar!$A$9:$A$39,$A11,Februar!$D$9:$D$39,"&lt;7",Februar!$F$9:$F$39,"F"))</f>
        <v>0</v>
      </c>
      <c r="I10" s="11">
        <v>0</v>
      </c>
      <c r="J10" s="11">
        <v>0</v>
      </c>
      <c r="K10" s="11">
        <v>0</v>
      </c>
      <c r="L10" s="26" t="str">
        <f t="shared" si="1"/>
        <v>07:24</v>
      </c>
      <c r="M10" s="26" t="str">
        <f>IF(OR(F10="N",F10="F"),"0:00",
IF(
OR(
AND(Masterdata!$B$4&lt;&gt;DATE(1900,1,0),Masterdata!$B$4&lt;$E10),
AND(Masterdata!$B$3&lt;&gt;DATE(1900,1,0),Masterdata!$B$3&gt;$E10)
),"0:00",
IF(
$I10&gt;TIME(0,0,0),
IF(
NOT(OR($C10="mandag",$C10="tirsdag",$C10="onsdag",$C10="torsdag",$C10="fredag")),
TEXT($I10,"[tt]:mm"),
IF($I10-$G10&gt;=0,TEXT($I10-$G10,"[tt]:mm"),"-"&amp;TEXT(ABS($I10-$G10),"[tt]:mm"))
),
IF(
NOT(OR($C10="mandag",$C10="tirsdag",$C10="onsdag",$C10="torsdag",$C10="fredag")),
IF($K10-$J10&gt;=0,TEXT($K10-$J10,"[tt]:mm"),"-"&amp;TEXT(ABS($K10-$J10),"[tt]:mm")),
IF(
$K10-$J10-$G10&gt;=0,
TEXT($K10-$J10-$G10,"[tt]:mm"),
"-"&amp;TEXT(ABS($K10-$J10-$G10),"[tt]:mm")
)
)
)
))</f>
        <v>0:00</v>
      </c>
      <c r="N10" s="71" t="str">
        <f t="shared" ref="N10:N20" si="4">LEFT(M10,1)</f>
        <v>0</v>
      </c>
      <c r="O10" s="25" t="str">
        <f t="shared" ref="O10:O39" si="5">IF($N10="-",LEFT($M10,3),LEFT($M10,2))</f>
        <v>0:</v>
      </c>
      <c r="P10" s="52" t="str">
        <f t="shared" ref="P10:P39" si="6">IF($N10="-",MID($M10,5,2),MID($M10,4,2))</f>
        <v>0</v>
      </c>
      <c r="Q10" s="53">
        <f t="shared" ref="Q10:Q14" si="7">P10/60</f>
        <v>0</v>
      </c>
      <c r="R10" s="30">
        <f t="shared" ref="R10:R14" si="8">IF(N10="-",O10-Q10,O10+Q10)</f>
        <v>0</v>
      </c>
      <c r="S10" s="109"/>
      <c r="T10" s="109"/>
      <c r="U10" s="29"/>
      <c r="V10" s="29"/>
      <c r="W10" s="29" t="s">
        <v>43</v>
      </c>
      <c r="X10" s="73">
        <f>X9/24</f>
        <v>0.30833333333333335</v>
      </c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</row>
    <row r="11" spans="1:45" x14ac:dyDescent="0.3">
      <c r="A11" s="7">
        <f t="shared" si="2"/>
        <v>1</v>
      </c>
      <c r="B11" s="8">
        <f t="shared" ref="B11:B39" si="9">B10+1</f>
        <v>46025</v>
      </c>
      <c r="C11" s="9" t="str" cm="1">
        <f t="array" ref="C11">_xlfn.XLOOKUP(E11,Masterdata!$B$31:$B$44,Masterdata!$A$31:$A$44,_xlfn.SWITCH(WEEKDAY($D11, 2), 1, "mandag", 2, "tirsdag", 3, "onsdag", 4, "torsdag", 5, "fredag", 6, "lørdag", 7, "søndag"),0)</f>
        <v>lørdag</v>
      </c>
      <c r="D11" s="29">
        <f t="shared" si="0"/>
        <v>7</v>
      </c>
      <c r="E11" s="70">
        <f t="shared" si="3"/>
        <v>46025</v>
      </c>
      <c r="F11" s="10" t="s">
        <v>23</v>
      </c>
      <c r="G11" s="12">
        <f>IF(OR(AND(F11="N",NOT(OR(C11="mandag",C11="tirsdag",C11="onsdag",C11="torsdag",C11="fredag"))),F11="F"),0,
        IF(OR(
            AND(Masterdata!$B$4&lt;&gt;DATE(1900,1,0), Masterdata!$B$4&lt;$E11),
            AND(Masterdata!$B$3&lt;&gt;DATE(1900,1,0), Masterdata!$B$3&gt;$E11)
        ),
        0, $X$7/(5-H11)))</f>
        <v>0</v>
      </c>
      <c r="H11" s="86">
        <f>SUMPRODUCT(COUNTIFS($A$9:$A$38,$A12,$D$9:$D$38,"&lt;7",$F$9:$F$38,"F")+COUNTIFS(Februar!$A$9:$A$39,$A12,Februar!$D$9:$D$39,"&lt;7",Februar!$F$9:$F$39,"F"))</f>
        <v>0</v>
      </c>
      <c r="I11" s="11">
        <v>0</v>
      </c>
      <c r="J11" s="11">
        <v>0</v>
      </c>
      <c r="K11" s="11">
        <v>0</v>
      </c>
      <c r="L11" s="26" t="str">
        <f t="shared" si="1"/>
        <v>00:00</v>
      </c>
      <c r="M11" s="26" t="str">
        <f>IF(OR(F11="N",F11="F"),"0:00",
IF(
OR(
AND(Masterdata!$B$4&lt;&gt;DATE(1900,1,0),Masterdata!$B$4&lt;$E11),
AND(Masterdata!$B$3&lt;&gt;DATE(1900,1,0),Masterdata!$B$3&gt;$E11)
),"0:00",
IF(
$I11&gt;TIME(0,0,0),
IF(
NOT(OR($C11="mandag",$C11="tirsdag",$C11="onsdag",$C11="torsdag",$C11="fredag")),
TEXT($I11,"[tt]:mm"),
IF($I11-$G11&gt;=0,TEXT($I11-$G11,"[tt]:mm"),"-"&amp;TEXT(ABS($I11-$G11),"[tt]:mm"))
),
IF(
NOT(OR($C11="mandag",$C11="tirsdag",$C11="onsdag",$C11="torsdag",$C11="fredag")),
IF($K11-$J11&gt;=0,TEXT($K11-$J11,"[tt]:mm"),"-"&amp;TEXT(ABS($K11-$J11),"[tt]:mm")),
IF(
$K11-$J11-$G11&gt;=0,
TEXT($K11-$J11-$G11,"[tt]:mm"),
"-"&amp;TEXT(ABS($K11-$J11-$G11),"[tt]:mm")
)
)
)
))</f>
        <v>0:00</v>
      </c>
      <c r="N11" s="71" t="str">
        <f t="shared" si="4"/>
        <v>0</v>
      </c>
      <c r="O11" s="25" t="str">
        <f t="shared" si="5"/>
        <v>0:</v>
      </c>
      <c r="P11" s="52" t="str">
        <f t="shared" si="6"/>
        <v>0</v>
      </c>
      <c r="Q11" s="53">
        <f t="shared" si="7"/>
        <v>0</v>
      </c>
      <c r="R11" s="30">
        <f t="shared" si="8"/>
        <v>0</v>
      </c>
      <c r="S11" s="109"/>
      <c r="T11" s="109"/>
      <c r="U11" s="29" t="s">
        <v>23</v>
      </c>
      <c r="V11" s="29" t="s">
        <v>44</v>
      </c>
      <c r="W11" s="29" t="s">
        <v>45</v>
      </c>
      <c r="X11" s="30">
        <f>(B1/37)*160.33</f>
        <v>160.33000000000001</v>
      </c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</row>
    <row r="12" spans="1:45" x14ac:dyDescent="0.3">
      <c r="A12" s="7">
        <f t="shared" si="2"/>
        <v>1</v>
      </c>
      <c r="B12" s="8">
        <f t="shared" si="9"/>
        <v>46026</v>
      </c>
      <c r="C12" s="9" t="str" cm="1">
        <f t="array" ref="C12">_xlfn.XLOOKUP(E12,Masterdata!$B$31:$B$44,Masterdata!$A$31:$A$44,_xlfn.SWITCH(WEEKDAY($D12, 2), 1, "mandag", 2, "tirsdag", 3, "onsdag", 4, "torsdag", 5, "fredag", 6, "lørdag", 7, "søndag"),0)</f>
        <v>søndag</v>
      </c>
      <c r="D12" s="29">
        <f t="shared" si="0"/>
        <v>8</v>
      </c>
      <c r="E12" s="70">
        <f t="shared" si="3"/>
        <v>46026</v>
      </c>
      <c r="F12" s="10" t="s">
        <v>23</v>
      </c>
      <c r="G12" s="12">
        <f>IF(OR(AND(F12="N",NOT(OR(C12="mandag",C12="tirsdag",C12="onsdag",C12="torsdag",C12="fredag"))),F12="F"),0,
        IF(OR(
            AND(Masterdata!$B$4&lt;&gt;DATE(1900,1,0), Masterdata!$B$4&lt;$E12),
            AND(Masterdata!$B$3&lt;&gt;DATE(1900,1,0), Masterdata!$B$3&gt;$E12)
        ),
        0, $X$7/(5-H12)))</f>
        <v>0</v>
      </c>
      <c r="H12" s="86">
        <f>SUMPRODUCT(COUNTIFS($A$9:$A$38,$A13,$D$9:$D$38,"&lt;7",$F$9:$F$38,"F")+COUNTIFS(Februar!$A$9:$A$39,$A13,Februar!$D$9:$D$39,"&lt;7",Februar!$F$9:$F$39,"F"))</f>
        <v>0</v>
      </c>
      <c r="I12" s="11">
        <v>0</v>
      </c>
      <c r="J12" s="11">
        <v>0</v>
      </c>
      <c r="K12" s="11">
        <v>0</v>
      </c>
      <c r="L12" s="26" t="str">
        <f t="shared" si="1"/>
        <v>00:00</v>
      </c>
      <c r="M12" s="26" t="str">
        <f>IF(OR(F12="N",F12="F"),"0:00",
IF(
OR(
AND(Masterdata!$B$4&lt;&gt;DATE(1900,1,0),Masterdata!$B$4&lt;$E12),
AND(Masterdata!$B$3&lt;&gt;DATE(1900,1,0),Masterdata!$B$3&gt;$E12)
),"0:00",
IF(
$I12&gt;TIME(0,0,0),
IF(
NOT(OR($C12="mandag",$C12="tirsdag",$C12="onsdag",$C12="torsdag",$C12="fredag")),
TEXT($I12,"[tt]:mm"),
IF($I12-$G12&gt;=0,TEXT($I12-$G12,"[tt]:mm"),"-"&amp;TEXT(ABS($I12-$G12),"[tt]:mm"))
),
IF(
NOT(OR($C12="mandag",$C12="tirsdag",$C12="onsdag",$C12="torsdag",$C12="fredag")),
IF($K12-$J12&gt;=0,TEXT($K12-$J12,"[tt]:mm"),"-"&amp;TEXT(ABS($K12-$J12),"[tt]:mm")),
IF(
$K12-$J12-$G12&gt;=0,
TEXT($K12-$J12-$G12,"[tt]:mm"),
"-"&amp;TEXT(ABS($K12-$J12-$G12),"[tt]:mm")
)
)
)
))</f>
        <v>0:00</v>
      </c>
      <c r="N12" s="71" t="str">
        <f t="shared" si="4"/>
        <v>0</v>
      </c>
      <c r="O12" s="25" t="str">
        <f t="shared" si="5"/>
        <v>0:</v>
      </c>
      <c r="P12" s="52" t="str">
        <f t="shared" si="6"/>
        <v>0</v>
      </c>
      <c r="Q12" s="53">
        <f t="shared" si="7"/>
        <v>0</v>
      </c>
      <c r="R12" s="30">
        <f t="shared" si="8"/>
        <v>0</v>
      </c>
      <c r="S12" s="109"/>
      <c r="T12" s="10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</row>
    <row r="13" spans="1:45" x14ac:dyDescent="0.3">
      <c r="A13" s="7">
        <f t="shared" si="2"/>
        <v>2</v>
      </c>
      <c r="B13" s="8">
        <f t="shared" si="9"/>
        <v>46027</v>
      </c>
      <c r="C13" s="9" t="str" cm="1">
        <f t="array" ref="C13">_xlfn.XLOOKUP(E13,Masterdata!$B$31:$B$44,Masterdata!$A$31:$A$44,_xlfn.SWITCH(WEEKDAY($D13, 2), 1, "mandag", 2, "tirsdag", 3, "onsdag", 4, "torsdag", 5, "fredag", 6, "lørdag", 7, "søndag"),0)</f>
        <v>mandag</v>
      </c>
      <c r="D13" s="29">
        <f t="shared" si="0"/>
        <v>2</v>
      </c>
      <c r="E13" s="70">
        <f t="shared" si="3"/>
        <v>46027</v>
      </c>
      <c r="F13" s="10" t="s">
        <v>23</v>
      </c>
      <c r="G13" s="12">
        <f>IF(OR(AND(F13="N",NOT(OR(C13="mandag",C13="tirsdag",C13="onsdag",C13="torsdag",C13="fredag"))),F13="F"),0,
        IF(OR(
            AND(Masterdata!$B$4&lt;&gt;DATE(1900,1,0), Masterdata!$B$4&lt;$E13),
            AND(Masterdata!$B$3&lt;&gt;DATE(1900,1,0), Masterdata!$B$3&gt;$E13)
        ),
        0, $X$7/(5-H13)))</f>
        <v>0.30833333333333335</v>
      </c>
      <c r="H13" s="86">
        <f>SUMPRODUCT(COUNTIFS($A$9:$A$38,$A14,$D$9:$D$38,"&lt;7",$F$9:$F$38,"F")+COUNTIFS(Februar!$A$9:$A$39,$A14,Februar!$D$9:$D$39,"&lt;7",Februar!$F$9:$F$39,"F"))</f>
        <v>0</v>
      </c>
      <c r="I13" s="11">
        <v>0</v>
      </c>
      <c r="J13" s="11">
        <v>0</v>
      </c>
      <c r="K13" s="11">
        <v>0</v>
      </c>
      <c r="L13" s="26" t="str">
        <f t="shared" si="1"/>
        <v>07:24</v>
      </c>
      <c r="M13" s="26" t="str">
        <f>IF(OR(F13="N",F13="F"),"0:00",
IF(
OR(
AND(Masterdata!$B$4&lt;&gt;DATE(1900,1,0),Masterdata!$B$4&lt;$E13),
AND(Masterdata!$B$3&lt;&gt;DATE(1900,1,0),Masterdata!$B$3&gt;$E13)
),"0:00",
IF(
$I13&gt;TIME(0,0,0),
IF(
NOT(OR($C13="mandag",$C13="tirsdag",$C13="onsdag",$C13="torsdag",$C13="fredag")),
TEXT($I13,"[tt]:mm"),
IF($I13-$G13&gt;=0,TEXT($I13-$G13,"[tt]:mm"),"-"&amp;TEXT(ABS($I13-$G13),"[tt]:mm"))
),
IF(
NOT(OR($C13="mandag",$C13="tirsdag",$C13="onsdag",$C13="torsdag",$C13="fredag")),
IF($K13-$J13&gt;=0,TEXT($K13-$J13,"[tt]:mm"),"-"&amp;TEXT(ABS($K13-$J13),"[tt]:mm")),
IF(
$K13-$J13-$G13&gt;=0,
TEXT($K13-$J13-$G13,"[tt]:mm"),
"-"&amp;TEXT(ABS($K13-$J13-$G13),"[tt]:mm")
)
)
)
))</f>
        <v>0:00</v>
      </c>
      <c r="N13" s="71" t="str">
        <f t="shared" si="4"/>
        <v>0</v>
      </c>
      <c r="O13" s="25" t="str">
        <f t="shared" si="5"/>
        <v>0:</v>
      </c>
      <c r="P13" s="52" t="str">
        <f t="shared" si="6"/>
        <v>0</v>
      </c>
      <c r="Q13" s="53">
        <f t="shared" si="7"/>
        <v>0</v>
      </c>
      <c r="R13" s="30">
        <f t="shared" si="8"/>
        <v>0</v>
      </c>
      <c r="S13" s="109"/>
      <c r="T13" s="109"/>
      <c r="U13" s="29"/>
      <c r="V13" s="29"/>
      <c r="W13" s="29"/>
      <c r="X13" s="30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</row>
    <row r="14" spans="1:45" x14ac:dyDescent="0.3">
      <c r="A14" s="7">
        <f t="shared" si="2"/>
        <v>2</v>
      </c>
      <c r="B14" s="8">
        <f t="shared" si="9"/>
        <v>46028</v>
      </c>
      <c r="C14" s="9" t="str" cm="1">
        <f t="array" ref="C14">_xlfn.XLOOKUP(E14,Masterdata!$B$31:$B$44,Masterdata!$A$31:$A$44,_xlfn.SWITCH(WEEKDAY($D14, 2), 1, "mandag", 2, "tirsdag", 3, "onsdag", 4, "torsdag", 5, "fredag", 6, "lørdag", 7, "søndag"),0)</f>
        <v>tirsdag</v>
      </c>
      <c r="D14" s="29">
        <f t="shared" si="0"/>
        <v>3</v>
      </c>
      <c r="E14" s="70">
        <f t="shared" si="3"/>
        <v>46028</v>
      </c>
      <c r="F14" s="10" t="s">
        <v>23</v>
      </c>
      <c r="G14" s="12">
        <f>IF(OR(AND(F14="N",NOT(OR(C14="mandag",C14="tirsdag",C14="onsdag",C14="torsdag",C14="fredag"))),F14="F"),0,
        IF(OR(
            AND(Masterdata!$B$4&lt;&gt;DATE(1900,1,0), Masterdata!$B$4&lt;$E14),
            AND(Masterdata!$B$3&lt;&gt;DATE(1900,1,0), Masterdata!$B$3&gt;$E14)
        ),
        0, $X$7/(5-H14)))</f>
        <v>0.30833333333333335</v>
      </c>
      <c r="H14" s="86">
        <f>SUMPRODUCT(COUNTIFS($A$9:$A$38,$A15,$D$9:$D$38,"&lt;7",$F$9:$F$38,"F")+COUNTIFS(Februar!$A$9:$A$39,$A15,Februar!$D$9:$D$39,"&lt;7",Februar!$F$9:$F$39,"F"))</f>
        <v>0</v>
      </c>
      <c r="I14" s="11">
        <v>0</v>
      </c>
      <c r="J14" s="11">
        <v>0</v>
      </c>
      <c r="K14" s="11">
        <v>0</v>
      </c>
      <c r="L14" s="26" t="str">
        <f t="shared" si="1"/>
        <v>07:24</v>
      </c>
      <c r="M14" s="26" t="str">
        <f>IF(OR(F14="N",F14="F"),"0:00",
IF(
OR(
AND(Masterdata!$B$4&lt;&gt;DATE(1900,1,0),Masterdata!$B$4&lt;$E14),
AND(Masterdata!$B$3&lt;&gt;DATE(1900,1,0),Masterdata!$B$3&gt;$E14)
),"0:00",
IF(
$I14&gt;TIME(0,0,0),
IF(
NOT(OR($C14="mandag",$C14="tirsdag",$C14="onsdag",$C14="torsdag",$C14="fredag")),
TEXT($I14,"[tt]:mm"),
IF($I14-$G14&gt;=0,TEXT($I14-$G14,"[tt]:mm"),"-"&amp;TEXT(ABS($I14-$G14),"[tt]:mm"))
),
IF(
NOT(OR($C14="mandag",$C14="tirsdag",$C14="onsdag",$C14="torsdag",$C14="fredag")),
IF($K14-$J14&gt;=0,TEXT($K14-$J14,"[tt]:mm"),"-"&amp;TEXT(ABS($K14-$J14),"[tt]:mm")),
IF(
$K14-$J14-$G14&gt;=0,
TEXT($K14-$J14-$G14,"[tt]:mm"),
"-"&amp;TEXT(ABS($K14-$J14-$G14),"[tt]:mm")
)
)
)
))</f>
        <v>0:00</v>
      </c>
      <c r="N14" s="71" t="str">
        <f t="shared" si="4"/>
        <v>0</v>
      </c>
      <c r="O14" s="25" t="str">
        <f t="shared" si="5"/>
        <v>0:</v>
      </c>
      <c r="P14" s="52" t="str">
        <f t="shared" si="6"/>
        <v>0</v>
      </c>
      <c r="Q14" s="53">
        <f t="shared" si="7"/>
        <v>0</v>
      </c>
      <c r="R14" s="30">
        <f t="shared" si="8"/>
        <v>0</v>
      </c>
      <c r="S14" s="98"/>
      <c r="T14" s="98"/>
      <c r="U14" s="29"/>
      <c r="V14" s="29"/>
      <c r="W14" s="29"/>
      <c r="X14" s="74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</row>
    <row r="15" spans="1:45" x14ac:dyDescent="0.3">
      <c r="A15" s="7">
        <f t="shared" si="2"/>
        <v>2</v>
      </c>
      <c r="B15" s="8">
        <f t="shared" si="9"/>
        <v>46029</v>
      </c>
      <c r="C15" s="9" t="str" cm="1">
        <f t="array" ref="C15">_xlfn.XLOOKUP(E15,Masterdata!$B$31:$B$44,Masterdata!$A$31:$A$44,_xlfn.SWITCH(WEEKDAY($D15, 2), 1, "mandag", 2, "tirsdag", 3, "onsdag", 4, "torsdag", 5, "fredag", 6, "lørdag", 7, "søndag"),0)</f>
        <v>onsdag</v>
      </c>
      <c r="D15" s="29">
        <f t="shared" si="0"/>
        <v>4</v>
      </c>
      <c r="E15" s="70">
        <f t="shared" si="3"/>
        <v>46029</v>
      </c>
      <c r="F15" s="10" t="s">
        <v>23</v>
      </c>
      <c r="G15" s="12">
        <f>IF(OR(AND(F15="N",NOT(OR(C15="mandag",C15="tirsdag",C15="onsdag",C15="torsdag",C15="fredag"))),F15="F"),0,
        IF(OR(
            AND(Masterdata!$B$4&lt;&gt;DATE(1900,1,0), Masterdata!$B$4&lt;$E15),
            AND(Masterdata!$B$3&lt;&gt;DATE(1900,1,0), Masterdata!$B$3&gt;$E15)
        ),
        0, $X$7/(5-H15)))</f>
        <v>0.30833333333333335</v>
      </c>
      <c r="H15" s="86">
        <f>SUMPRODUCT(COUNTIFS($A$9:$A$38,$A16,$D$9:$D$38,"&lt;7",$F$9:$F$38,"F")+COUNTIFS(Februar!$A$9:$A$39,$A16,Februar!$D$9:$D$39,"&lt;7",Februar!$F$9:$F$39,"F"))</f>
        <v>0</v>
      </c>
      <c r="I15" s="11">
        <v>0</v>
      </c>
      <c r="J15" s="11">
        <v>0</v>
      </c>
      <c r="K15" s="11">
        <v>0</v>
      </c>
      <c r="L15" s="26" t="str">
        <f t="shared" si="1"/>
        <v>07:24</v>
      </c>
      <c r="M15" s="26" t="str">
        <f>IF(OR(F15="N",F15="F"),"0:00",
IF(
OR(
AND(Masterdata!$B$4&lt;&gt;DATE(1900,1,0),Masterdata!$B$4&lt;$E15),
AND(Masterdata!$B$3&lt;&gt;DATE(1900,1,0),Masterdata!$B$3&gt;$E15)
),"0:00",
IF(
$I15&gt;TIME(0,0,0),
IF(
NOT(OR($C15="mandag",$C15="tirsdag",$C15="onsdag",$C15="torsdag",$C15="fredag")),
TEXT($I15,"[tt]:mm"),
IF($I15-$G15&gt;=0,TEXT($I15-$G15,"[tt]:mm"),"-"&amp;TEXT(ABS($I15-$G15),"[tt]:mm"))
),
IF(
NOT(OR($C15="mandag",$C15="tirsdag",$C15="onsdag",$C15="torsdag",$C15="fredag")),
IF($K15-$J15&gt;=0,TEXT($K15-$J15,"[tt]:mm"),"-"&amp;TEXT(ABS($K15-$J15),"[tt]:mm")),
IF(
$K15-$J15-$G15&gt;=0,
TEXT($K15-$J15-$G15,"[tt]:mm"),
"-"&amp;TEXT(ABS($K15-$J15-$G15),"[tt]:mm")
)
)
)
))</f>
        <v>0:00</v>
      </c>
      <c r="N15" s="71" t="str">
        <f t="shared" si="4"/>
        <v>0</v>
      </c>
      <c r="O15" s="25" t="str">
        <f t="shared" si="5"/>
        <v>0:</v>
      </c>
      <c r="P15" s="52" t="str">
        <f t="shared" si="6"/>
        <v>0</v>
      </c>
      <c r="Q15" s="53">
        <f>P15/60</f>
        <v>0</v>
      </c>
      <c r="R15" s="30">
        <f>IF(N15="-",O15-Q15,O15+Q15)</f>
        <v>0</v>
      </c>
      <c r="S15" s="98"/>
      <c r="T15" s="98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</row>
    <row r="16" spans="1:45" x14ac:dyDescent="0.3">
      <c r="A16" s="7">
        <f t="shared" si="2"/>
        <v>2</v>
      </c>
      <c r="B16" s="8">
        <f t="shared" si="9"/>
        <v>46030</v>
      </c>
      <c r="C16" s="9" t="str" cm="1">
        <f t="array" ref="C16">_xlfn.XLOOKUP(E16,Masterdata!$B$31:$B$44,Masterdata!$A$31:$A$44,_xlfn.SWITCH(WEEKDAY($D16, 2), 1, "mandag", 2, "tirsdag", 3, "onsdag", 4, "torsdag", 5, "fredag", 6, "lørdag", 7, "søndag"),0)</f>
        <v>torsdag</v>
      </c>
      <c r="D16" s="29">
        <f t="shared" si="0"/>
        <v>5</v>
      </c>
      <c r="E16" s="70">
        <f t="shared" si="3"/>
        <v>46030</v>
      </c>
      <c r="F16" s="10" t="s">
        <v>23</v>
      </c>
      <c r="G16" s="12">
        <f>IF(OR(AND(F16="N",NOT(OR(C16="mandag",C16="tirsdag",C16="onsdag",C16="torsdag",C16="fredag"))),F16="F"),0,
        IF(OR(
            AND(Masterdata!$B$4&lt;&gt;DATE(1900,1,0), Masterdata!$B$4&lt;$E16),
            AND(Masterdata!$B$3&lt;&gt;DATE(1900,1,0), Masterdata!$B$3&gt;$E16)
        ),
        0, $X$7/(5-H16)))</f>
        <v>0.30833333333333335</v>
      </c>
      <c r="H16" s="86">
        <f>SUMPRODUCT(COUNTIFS($A$9:$A$38,$A17,$D$9:$D$38,"&lt;7",$F$9:$F$38,"F")+COUNTIFS(Februar!$A$9:$A$39,$A17,Februar!$D$9:$D$39,"&lt;7",Februar!$F$9:$F$39,"F"))</f>
        <v>0</v>
      </c>
      <c r="I16" s="11">
        <v>0</v>
      </c>
      <c r="J16" s="11">
        <v>0</v>
      </c>
      <c r="K16" s="11">
        <v>0</v>
      </c>
      <c r="L16" s="26" t="str">
        <f>IF($F16="F","00:00",
IF($F16="N",TEXT($G16,"[tt]:mm"),
IF($I16&lt;&gt;0,TEXT($I16,"[tt]:mm"),
IF($K16-$J16&gt;=0,
TEXT($K16-$J16,"[tt]:mm"),
"-"&amp;TEXT(ABS($K16-$J16),"[tt]:mm")))))</f>
        <v>07:24</v>
      </c>
      <c r="M16" s="26" t="str">
        <f>IF(OR(F16="N",F16="F"),"0:00",
IF(
OR(
AND(Masterdata!$B$4&lt;&gt;DATE(1900,1,0),Masterdata!$B$4&lt;$E16),
AND(Masterdata!$B$3&lt;&gt;DATE(1900,1,0),Masterdata!$B$3&gt;$E16)
),"0:00",
IF(
$I16&gt;TIME(0,0,0),
IF(
NOT(OR($C16="mandag",$C16="tirsdag",$C16="onsdag",$C16="torsdag",$C16="fredag")),
TEXT($I16,"[tt]:mm"),
IF($I16-$G16&gt;=0,TEXT($I16-$G16,"[tt]:mm"),"-"&amp;TEXT(ABS($I16-$G16),"[tt]:mm"))
),
IF(
NOT(OR($C16="mandag",$C16="tirsdag",$C16="onsdag",$C16="torsdag",$C16="fredag")),
IF($K16-$J16&gt;=0,TEXT($K16-$J16,"[tt]:mm"),"-"&amp;TEXT(ABS($K16-$J16),"[tt]:mm")),
IF(
$K16-$J16-$G16&gt;=0,
TEXT($K16-$J16-$G16,"[tt]:mm"),
"-"&amp;TEXT(ABS($K16-$J16-$G16),"[tt]:mm")
)
)
)
))</f>
        <v>0:00</v>
      </c>
      <c r="N16" s="71" t="str">
        <f t="shared" si="4"/>
        <v>0</v>
      </c>
      <c r="O16" s="25" t="str">
        <f t="shared" si="5"/>
        <v>0:</v>
      </c>
      <c r="P16" s="52" t="str">
        <f t="shared" si="6"/>
        <v>0</v>
      </c>
      <c r="Q16" s="53">
        <f t="shared" ref="Q16:Q36" si="10">P16/60</f>
        <v>0</v>
      </c>
      <c r="R16" s="30">
        <f t="shared" ref="R16:R20" si="11">IF(N16="-",O16-Q16,O16+Q16)</f>
        <v>0</v>
      </c>
      <c r="S16" s="98"/>
      <c r="T16" s="98"/>
      <c r="U16" s="29" t="s">
        <v>46</v>
      </c>
      <c r="V16" s="29" t="s">
        <v>47</v>
      </c>
      <c r="W16" s="29" t="s">
        <v>48</v>
      </c>
      <c r="X16" s="30">
        <f>X11-X14</f>
        <v>160.33000000000001</v>
      </c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</row>
    <row r="17" spans="1:45" x14ac:dyDescent="0.3">
      <c r="A17" s="7">
        <f t="shared" si="2"/>
        <v>2</v>
      </c>
      <c r="B17" s="8">
        <f t="shared" si="9"/>
        <v>46031</v>
      </c>
      <c r="C17" s="9" t="str" cm="1">
        <f t="array" ref="C17">_xlfn.XLOOKUP(E17,Masterdata!$B$31:$B$44,Masterdata!$A$31:$A$44,_xlfn.SWITCH(WEEKDAY($D17, 2), 1, "mandag", 2, "tirsdag", 3, "onsdag", 4, "torsdag", 5, "fredag", 6, "lørdag", 7, "søndag"),0)</f>
        <v>fredag</v>
      </c>
      <c r="D17" s="29">
        <f t="shared" si="0"/>
        <v>6</v>
      </c>
      <c r="E17" s="70">
        <f t="shared" si="3"/>
        <v>46031</v>
      </c>
      <c r="F17" s="10" t="s">
        <v>23</v>
      </c>
      <c r="G17" s="12">
        <f>IF(OR(AND(F17="N",NOT(OR(C17="mandag",C17="tirsdag",C17="onsdag",C17="torsdag",C17="fredag"))),F17="F"),0,
        IF(OR(
            AND(Masterdata!$B$4&lt;&gt;DATE(1900,1,0), Masterdata!$B$4&lt;$E17),
            AND(Masterdata!$B$3&lt;&gt;DATE(1900,1,0), Masterdata!$B$3&gt;$E17)
        ),
        0, $X$7/(5-H17)))</f>
        <v>0.30833333333333335</v>
      </c>
      <c r="H17" s="86">
        <f>SUMPRODUCT(COUNTIFS($A$9:$A$38,$A18,$D$9:$D$38,"&lt;7",$F$9:$F$38,"F")+COUNTIFS(Februar!$A$9:$A$39,$A18,Februar!$D$9:$D$39,"&lt;7",Februar!$F$9:$F$39,"F"))</f>
        <v>0</v>
      </c>
      <c r="I17" s="11">
        <v>0</v>
      </c>
      <c r="J17" s="11">
        <v>0</v>
      </c>
      <c r="K17" s="11">
        <v>0</v>
      </c>
      <c r="L17" s="26" t="str">
        <f t="shared" ref="L17:L39" si="12">IF($F17="F","00:00",
IF($F17="N",TEXT($G17,"[tt]:mm"),
IF($I17&lt;&gt;0,TEXT($I17,"[tt]:mm"),
IF($K17-$J17&gt;=0,
TEXT($K17-$J17,"[tt]:mm"),
"-"&amp;TEXT(ABS($K17-$J17),"[tt]:mm")))))</f>
        <v>07:24</v>
      </c>
      <c r="M17" s="26" t="str">
        <f>IF(OR(F17="N",F17="F"),"0:00",
IF(
OR(
AND(Masterdata!$B$4&lt;&gt;DATE(1900,1,0),Masterdata!$B$4&lt;$E17),
AND(Masterdata!$B$3&lt;&gt;DATE(1900,1,0),Masterdata!$B$3&gt;$E17)
),"0:00",
IF(
$I17&gt;TIME(0,0,0),
IF(
NOT(OR($C17="mandag",$C17="tirsdag",$C17="onsdag",$C17="torsdag",$C17="fredag")),
TEXT($I17,"[tt]:mm"),
IF($I17-$G17&gt;=0,TEXT($I17-$G17,"[tt]:mm"),"-"&amp;TEXT(ABS($I17-$G17),"[tt]:mm"))
),
IF(
NOT(OR($C17="mandag",$C17="tirsdag",$C17="onsdag",$C17="torsdag",$C17="fredag")),
IF($K17-$J17&gt;=0,TEXT($K17-$J17,"[tt]:mm"),"-"&amp;TEXT(ABS($K17-$J17),"[tt]:mm")),
IF(
$K17-$J17-$G17&gt;=0,
TEXT($K17-$J17-$G17,"[tt]:mm"),
"-"&amp;TEXT(ABS($K17-$J17-$G17),"[tt]:mm")
)
)
)
))</f>
        <v>0:00</v>
      </c>
      <c r="N17" s="71" t="str">
        <f t="shared" si="4"/>
        <v>0</v>
      </c>
      <c r="O17" s="25" t="str">
        <f t="shared" si="5"/>
        <v>0:</v>
      </c>
      <c r="P17" s="52" t="str">
        <f t="shared" si="6"/>
        <v>0</v>
      </c>
      <c r="Q17" s="53">
        <f t="shared" si="10"/>
        <v>0</v>
      </c>
      <c r="R17" s="30">
        <f t="shared" si="11"/>
        <v>0</v>
      </c>
      <c r="S17" s="98"/>
      <c r="T17" s="98"/>
      <c r="U17" s="29" t="s">
        <v>49</v>
      </c>
      <c r="V17" s="29" t="s">
        <v>50</v>
      </c>
      <c r="W17" s="29" t="s">
        <v>51</v>
      </c>
      <c r="X17" s="30" t="e">
        <f>SUM(#REF!)</f>
        <v>#REF!</v>
      </c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</row>
    <row r="18" spans="1:45" x14ac:dyDescent="0.3">
      <c r="A18" s="7">
        <f t="shared" si="2"/>
        <v>2</v>
      </c>
      <c r="B18" s="8">
        <f t="shared" si="9"/>
        <v>46032</v>
      </c>
      <c r="C18" s="9" t="str" cm="1">
        <f t="array" ref="C18">_xlfn.XLOOKUP(E18,Masterdata!$B$31:$B$44,Masterdata!$A$31:$A$44,_xlfn.SWITCH(WEEKDAY($D18, 2), 1, "mandag", 2, "tirsdag", 3, "onsdag", 4, "torsdag", 5, "fredag", 6, "lørdag", 7, "søndag"),0)</f>
        <v>lørdag</v>
      </c>
      <c r="D18" s="29">
        <f t="shared" si="0"/>
        <v>7</v>
      </c>
      <c r="E18" s="70">
        <f t="shared" si="3"/>
        <v>46032</v>
      </c>
      <c r="F18" s="10" t="s">
        <v>23</v>
      </c>
      <c r="G18" s="12">
        <f>IF(OR(AND(F18="N",NOT(OR(C18="mandag",C18="tirsdag",C18="onsdag",C18="torsdag",C18="fredag"))),F18="F"),0,
        IF(OR(
            AND(Masterdata!$B$4&lt;&gt;DATE(1900,1,0), Masterdata!$B$4&lt;$E18),
            AND(Masterdata!$B$3&lt;&gt;DATE(1900,1,0), Masterdata!$B$3&gt;$E18)
        ),
        0, $X$7/(5-H18)))</f>
        <v>0</v>
      </c>
      <c r="H18" s="86">
        <f>SUMPRODUCT(COUNTIFS($A$9:$A$38,$A19,$D$9:$D$38,"&lt;7",$F$9:$F$38,"F")+COUNTIFS(Februar!$A$9:$A$39,$A19,Februar!$D$9:$D$39,"&lt;7",Februar!$F$9:$F$39,"F"))</f>
        <v>0</v>
      </c>
      <c r="I18" s="11">
        <v>0</v>
      </c>
      <c r="J18" s="11">
        <v>0</v>
      </c>
      <c r="K18" s="11">
        <v>0</v>
      </c>
      <c r="L18" s="26" t="str">
        <f t="shared" si="12"/>
        <v>00:00</v>
      </c>
      <c r="M18" s="26" t="str">
        <f>IF(OR(F18="N",F18="F"),"0:00",
IF(
OR(
AND(Masterdata!$B$4&lt;&gt;DATE(1900,1,0),Masterdata!$B$4&lt;$E18),
AND(Masterdata!$B$3&lt;&gt;DATE(1900,1,0),Masterdata!$B$3&gt;$E18)
),"0:00",
IF(
$I18&gt;TIME(0,0,0),
IF(
NOT(OR($C18="mandag",$C18="tirsdag",$C18="onsdag",$C18="torsdag",$C18="fredag")),
TEXT($I18,"[tt]:mm"),
IF($I18-$G18&gt;=0,TEXT($I18-$G18,"[tt]:mm"),"-"&amp;TEXT(ABS($I18-$G18),"[tt]:mm"))
),
IF(
NOT(OR($C18="mandag",$C18="tirsdag",$C18="onsdag",$C18="torsdag",$C18="fredag")),
IF($K18-$J18&gt;=0,TEXT($K18-$J18,"[tt]:mm"),"-"&amp;TEXT(ABS($K18-$J18),"[tt]:mm")),
IF(
$K18-$J18-$G18&gt;=0,
TEXT($K18-$J18-$G18,"[tt]:mm"),
"-"&amp;TEXT(ABS($K18-$J18-$G18),"[tt]:mm")
)
)
)
))</f>
        <v>0:00</v>
      </c>
      <c r="N18" s="71" t="str">
        <f t="shared" si="4"/>
        <v>0</v>
      </c>
      <c r="O18" s="25" t="str">
        <f t="shared" si="5"/>
        <v>0:</v>
      </c>
      <c r="P18" s="52" t="str">
        <f t="shared" si="6"/>
        <v>0</v>
      </c>
      <c r="Q18" s="53">
        <f t="shared" si="10"/>
        <v>0</v>
      </c>
      <c r="R18" s="30">
        <f t="shared" si="11"/>
        <v>0</v>
      </c>
      <c r="S18" s="98"/>
      <c r="T18" s="98"/>
      <c r="U18" s="29" t="s">
        <v>25</v>
      </c>
      <c r="V18" s="29" t="s">
        <v>52</v>
      </c>
      <c r="W18" s="29" t="s">
        <v>53</v>
      </c>
      <c r="X18" s="30" t="e">
        <f>X16-X17</f>
        <v>#REF!</v>
      </c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</row>
    <row r="19" spans="1:45" x14ac:dyDescent="0.3">
      <c r="A19" s="7">
        <f t="shared" si="2"/>
        <v>2</v>
      </c>
      <c r="B19" s="8">
        <f t="shared" si="9"/>
        <v>46033</v>
      </c>
      <c r="C19" s="9" t="str" cm="1">
        <f t="array" ref="C19">_xlfn.XLOOKUP(E19,Masterdata!$B$31:$B$44,Masterdata!$A$31:$A$44,_xlfn.SWITCH(WEEKDAY($D19, 2), 1, "mandag", 2, "tirsdag", 3, "onsdag", 4, "torsdag", 5, "fredag", 6, "lørdag", 7, "søndag"),0)</f>
        <v>søndag</v>
      </c>
      <c r="D19" s="29">
        <f t="shared" si="0"/>
        <v>8</v>
      </c>
      <c r="E19" s="70">
        <f t="shared" si="3"/>
        <v>46033</v>
      </c>
      <c r="F19" s="10" t="s">
        <v>23</v>
      </c>
      <c r="G19" s="12">
        <f>IF(OR(AND(F19="N",NOT(OR(C19="mandag",C19="tirsdag",C19="onsdag",C19="torsdag",C19="fredag"))),F19="F"),0,
        IF(OR(
            AND(Masterdata!$B$4&lt;&gt;DATE(1900,1,0), Masterdata!$B$4&lt;$E19),
            AND(Masterdata!$B$3&lt;&gt;DATE(1900,1,0), Masterdata!$B$3&gt;$E19)
        ),
        0, $X$7/(5-H19)))</f>
        <v>0</v>
      </c>
      <c r="H19" s="86">
        <f>SUMPRODUCT(COUNTIFS($A$9:$A$38,$A20,$D$9:$D$38,"&lt;7",$F$9:$F$38,"F")+COUNTIFS(Februar!$A$9:$A$39,$A20,Februar!$D$9:$D$39,"&lt;7",Februar!$F$9:$F$39,"F"))</f>
        <v>0</v>
      </c>
      <c r="I19" s="11">
        <v>0</v>
      </c>
      <c r="J19" s="11">
        <v>0</v>
      </c>
      <c r="K19" s="11">
        <v>0</v>
      </c>
      <c r="L19" s="26" t="str">
        <f t="shared" si="12"/>
        <v>00:00</v>
      </c>
      <c r="M19" s="26" t="str">
        <f>IF(OR(F19="N",F19="F"),"0:00",
IF(
OR(
AND(Masterdata!$B$4&lt;&gt;DATE(1900,1,0),Masterdata!$B$4&lt;$E19),
AND(Masterdata!$B$3&lt;&gt;DATE(1900,1,0),Masterdata!$B$3&gt;$E19)
),"0:00",
IF(
$I19&gt;TIME(0,0,0),
IF(
NOT(OR($C19="mandag",$C19="tirsdag",$C19="onsdag",$C19="torsdag",$C19="fredag")),
TEXT($I19,"[tt]:mm"),
IF($I19-$G19&gt;=0,TEXT($I19-$G19,"[tt]:mm"),"-"&amp;TEXT(ABS($I19-$G19),"[tt]:mm"))
),
IF(
NOT(OR($C19="mandag",$C19="tirsdag",$C19="onsdag",$C19="torsdag",$C19="fredag")),
IF($K19-$J19&gt;=0,TEXT($K19-$J19,"[tt]:mm"),"-"&amp;TEXT(ABS($K19-$J19),"[tt]:mm")),
IF(
$K19-$J19-$G19&gt;=0,
TEXT($K19-$J19-$G19,"[tt]:mm"),
"-"&amp;TEXT(ABS($K19-$J19-$G19),"[tt]:mm")
)
)
)
))</f>
        <v>0:00</v>
      </c>
      <c r="N19" s="71" t="str">
        <f t="shared" si="4"/>
        <v>0</v>
      </c>
      <c r="O19" s="25" t="str">
        <f t="shared" si="5"/>
        <v>0:</v>
      </c>
      <c r="P19" s="52" t="str">
        <f t="shared" si="6"/>
        <v>0</v>
      </c>
      <c r="Q19" s="53">
        <f t="shared" si="10"/>
        <v>0</v>
      </c>
      <c r="R19" s="30">
        <f t="shared" si="11"/>
        <v>0</v>
      </c>
      <c r="S19" s="98"/>
      <c r="T19" s="98"/>
      <c r="U19" s="29"/>
      <c r="V19" s="29"/>
      <c r="W19" s="70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</row>
    <row r="20" spans="1:45" x14ac:dyDescent="0.3">
      <c r="A20" s="7">
        <f t="shared" si="2"/>
        <v>3</v>
      </c>
      <c r="B20" s="8">
        <f t="shared" si="9"/>
        <v>46034</v>
      </c>
      <c r="C20" s="9" t="str" cm="1">
        <f t="array" ref="C20">_xlfn.XLOOKUP(E20,Masterdata!$B$31:$B$44,Masterdata!$A$31:$A$44,_xlfn.SWITCH(WEEKDAY($D20, 2), 1, "mandag", 2, "tirsdag", 3, "onsdag", 4, "torsdag", 5, "fredag", 6, "lørdag", 7, "søndag"),0)</f>
        <v>mandag</v>
      </c>
      <c r="D20" s="29">
        <f t="shared" si="0"/>
        <v>2</v>
      </c>
      <c r="E20" s="70">
        <f t="shared" si="3"/>
        <v>46034</v>
      </c>
      <c r="F20" s="10" t="s">
        <v>23</v>
      </c>
      <c r="G20" s="12">
        <f>IF(OR(AND(F20="N",NOT(OR(C20="mandag",C20="tirsdag",C20="onsdag",C20="torsdag",C20="fredag"))),F20="F"),0,
        IF(OR(
            AND(Masterdata!$B$4&lt;&gt;DATE(1900,1,0), Masterdata!$B$4&lt;$E20),
            AND(Masterdata!$B$3&lt;&gt;DATE(1900,1,0), Masterdata!$B$3&gt;$E20)
        ),
        0, $X$7/(5-H20)))</f>
        <v>0.30833333333333335</v>
      </c>
      <c r="H20" s="86">
        <f>SUMPRODUCT(COUNTIFS($A$9:$A$38,$A21,$D$9:$D$38,"&lt;7",$F$9:$F$38,"F")+COUNTIFS(Februar!$A$9:$A$39,$A21,Februar!$D$9:$D$39,"&lt;7",Februar!$F$9:$F$39,"F"))</f>
        <v>0</v>
      </c>
      <c r="I20" s="11">
        <v>0</v>
      </c>
      <c r="J20" s="11">
        <v>0</v>
      </c>
      <c r="K20" s="11">
        <v>0</v>
      </c>
      <c r="L20" s="26" t="str">
        <f t="shared" si="12"/>
        <v>07:24</v>
      </c>
      <c r="M20" s="26" t="str">
        <f>IF(OR(F20="N",F20="F"),"0:00",
IF(
OR(
AND(Masterdata!$B$4&lt;&gt;DATE(1900,1,0),Masterdata!$B$4&lt;$E20),
AND(Masterdata!$B$3&lt;&gt;DATE(1900,1,0),Masterdata!$B$3&gt;$E20)
),"0:00",
IF(
$I20&gt;TIME(0,0,0),
IF(
NOT(OR($C20="mandag",$C20="tirsdag",$C20="onsdag",$C20="torsdag",$C20="fredag")),
TEXT($I20,"[tt]:mm"),
IF($I20-$G20&gt;=0,TEXT($I20-$G20,"[tt]:mm"),"-"&amp;TEXT(ABS($I20-$G20),"[tt]:mm"))
),
IF(
NOT(OR($C20="mandag",$C20="tirsdag",$C20="onsdag",$C20="torsdag",$C20="fredag")),
IF($K20-$J20&gt;=0,TEXT($K20-$J20,"[tt]:mm"),"-"&amp;TEXT(ABS($K20-$J20),"[tt]:mm")),
IF(
$K20-$J20-$G20&gt;=0,
TEXT($K20-$J20-$G20,"[tt]:mm"),
"-"&amp;TEXT(ABS($K20-$J20-$G20),"[tt]:mm")
)
)
)
))</f>
        <v>0:00</v>
      </c>
      <c r="N20" s="71" t="str">
        <f t="shared" si="4"/>
        <v>0</v>
      </c>
      <c r="O20" s="25" t="str">
        <f t="shared" si="5"/>
        <v>0:</v>
      </c>
      <c r="P20" s="52" t="str">
        <f t="shared" si="6"/>
        <v>0</v>
      </c>
      <c r="Q20" s="53">
        <f t="shared" si="10"/>
        <v>0</v>
      </c>
      <c r="R20" s="30">
        <f t="shared" si="11"/>
        <v>0</v>
      </c>
      <c r="S20" s="98"/>
      <c r="T20" s="98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</row>
    <row r="21" spans="1:45" x14ac:dyDescent="0.3">
      <c r="A21" s="7">
        <f t="shared" si="2"/>
        <v>3</v>
      </c>
      <c r="B21" s="8">
        <f t="shared" si="9"/>
        <v>46035</v>
      </c>
      <c r="C21" s="9" t="str" cm="1">
        <f t="array" ref="C21">_xlfn.XLOOKUP(E21,Masterdata!$B$31:$B$44,Masterdata!$A$31:$A$44,_xlfn.SWITCH(WEEKDAY($D21, 2), 1, "mandag", 2, "tirsdag", 3, "onsdag", 4, "torsdag", 5, "fredag", 6, "lørdag", 7, "søndag"),0)</f>
        <v>tirsdag</v>
      </c>
      <c r="D21" s="29">
        <f t="shared" si="0"/>
        <v>3</v>
      </c>
      <c r="E21" s="70">
        <f t="shared" si="3"/>
        <v>46035</v>
      </c>
      <c r="F21" s="10" t="s">
        <v>23</v>
      </c>
      <c r="G21" s="12">
        <f>IF(OR(AND(F21="N",NOT(OR(C21="mandag",C21="tirsdag",C21="onsdag",C21="torsdag",C21="fredag"))),F21="F"),0,
        IF(OR(
            AND(Masterdata!$B$4&lt;&gt;DATE(1900,1,0), Masterdata!$B$4&lt;$E21),
            AND(Masterdata!$B$3&lt;&gt;DATE(1900,1,0), Masterdata!$B$3&gt;$E21)
        ),
        0, $X$7/(5-H21)))</f>
        <v>0.30833333333333335</v>
      </c>
      <c r="H21" s="86">
        <f>SUMPRODUCT(COUNTIFS($A$9:$A$38,$A22,$D$9:$D$38,"&lt;7",$F$9:$F$38,"F")+COUNTIFS(Februar!$A$9:$A$39,$A22,Februar!$D$9:$D$39,"&lt;7",Februar!$F$9:$F$39,"F"))</f>
        <v>0</v>
      </c>
      <c r="I21" s="11">
        <v>0</v>
      </c>
      <c r="J21" s="11">
        <v>0</v>
      </c>
      <c r="K21" s="11">
        <v>0</v>
      </c>
      <c r="L21" s="26" t="str">
        <f t="shared" si="12"/>
        <v>07:24</v>
      </c>
      <c r="M21" s="26" t="str">
        <f>IF(OR(F21="N",F21="F"),"0:00",
IF(
OR(
AND(Masterdata!$B$4&lt;&gt;DATE(1900,1,0),Masterdata!$B$4&lt;$E21),
AND(Masterdata!$B$3&lt;&gt;DATE(1900,1,0),Masterdata!$B$3&gt;$E21)
),"0:00",
IF(
$I21&gt;TIME(0,0,0),
IF(
NOT(OR($C21="mandag",$C21="tirsdag",$C21="onsdag",$C21="torsdag",$C21="fredag")),
TEXT($I21,"[tt]:mm"),
IF($I21-$G21&gt;=0,TEXT($I21-$G21,"[tt]:mm"),"-"&amp;TEXT(ABS($I21-$G21),"[tt]:mm"))
),
IF(
NOT(OR($C21="mandag",$C21="tirsdag",$C21="onsdag",$C21="torsdag",$C21="fredag")),
IF($K21-$J21&gt;=0,TEXT($K21-$J21,"[tt]:mm"),"-"&amp;TEXT(ABS($K21-$J21),"[tt]:mm")),
IF(
$K21-$J21-$G21&gt;=0,
TEXT($K21-$J21-$G21,"[tt]:mm"),
"-"&amp;TEXT(ABS($K21-$J21-$G21),"[tt]:mm")
)
)
)
))</f>
        <v>0:00</v>
      </c>
      <c r="N21" s="71" t="str">
        <f>LEFT(M21,1)</f>
        <v>0</v>
      </c>
      <c r="O21" s="25" t="str">
        <f t="shared" si="5"/>
        <v>0:</v>
      </c>
      <c r="P21" s="52" t="str">
        <f t="shared" si="6"/>
        <v>0</v>
      </c>
      <c r="Q21" s="53">
        <f t="shared" si="10"/>
        <v>0</v>
      </c>
      <c r="R21" s="30">
        <f>IF(N21="-",O21-Q21,O21+Q21)</f>
        <v>0</v>
      </c>
      <c r="S21" s="98"/>
      <c r="T21" s="98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</row>
    <row r="22" spans="1:45" x14ac:dyDescent="0.3">
      <c r="A22" s="7">
        <f t="shared" si="2"/>
        <v>3</v>
      </c>
      <c r="B22" s="8">
        <f t="shared" si="9"/>
        <v>46036</v>
      </c>
      <c r="C22" s="9" t="str" cm="1">
        <f t="array" ref="C22">_xlfn.XLOOKUP(E22,Masterdata!$B$31:$B$44,Masterdata!$A$31:$A$44,_xlfn.SWITCH(WEEKDAY($D22, 2), 1, "mandag", 2, "tirsdag", 3, "onsdag", 4, "torsdag", 5, "fredag", 6, "lørdag", 7, "søndag"),0)</f>
        <v>onsdag</v>
      </c>
      <c r="D22" s="29">
        <f t="shared" si="0"/>
        <v>4</v>
      </c>
      <c r="E22" s="70">
        <f t="shared" si="3"/>
        <v>46036</v>
      </c>
      <c r="F22" s="10" t="s">
        <v>23</v>
      </c>
      <c r="G22" s="12">
        <f>IF(OR(AND(F22="N",NOT(OR(C22="mandag",C22="tirsdag",C22="onsdag",C22="torsdag",C22="fredag"))),F22="F"),0,
        IF(OR(
            AND(Masterdata!$B$4&lt;&gt;DATE(1900,1,0), Masterdata!$B$4&lt;$E22),
            AND(Masterdata!$B$3&lt;&gt;DATE(1900,1,0), Masterdata!$B$3&gt;$E22)
        ),
        0, $X$7/(5-H22)))</f>
        <v>0.30833333333333335</v>
      </c>
      <c r="H22" s="86">
        <f>SUMPRODUCT(COUNTIFS($A$9:$A$38,$A23,$D$9:$D$38,"&lt;7",$F$9:$F$38,"F")+COUNTIFS(Februar!$A$9:$A$39,$A23,Februar!$D$9:$D$39,"&lt;7",Februar!$F$9:$F$39,"F"))</f>
        <v>0</v>
      </c>
      <c r="I22" s="11">
        <v>0</v>
      </c>
      <c r="J22" s="11">
        <v>0</v>
      </c>
      <c r="K22" s="11">
        <v>0</v>
      </c>
      <c r="L22" s="26" t="str">
        <f t="shared" si="12"/>
        <v>07:24</v>
      </c>
      <c r="M22" s="26" t="str">
        <f>IF(OR(F22="N",F22="F"),"0:00",
IF(
OR(
AND(Masterdata!$B$4&lt;&gt;DATE(1900,1,0),Masterdata!$B$4&lt;$E22),
AND(Masterdata!$B$3&lt;&gt;DATE(1900,1,0),Masterdata!$B$3&gt;$E22)
),"0:00",
IF(
$I22&gt;TIME(0,0,0),
IF(
NOT(OR($C22="mandag",$C22="tirsdag",$C22="onsdag",$C22="torsdag",$C22="fredag")),
TEXT($I22,"[tt]:mm"),
IF($I22-$G22&gt;=0,TEXT($I22-$G22,"[tt]:mm"),"-"&amp;TEXT(ABS($I22-$G22),"[tt]:mm"))
),
IF(
NOT(OR($C22="mandag",$C22="tirsdag",$C22="onsdag",$C22="torsdag",$C22="fredag")),
IF($K22-$J22&gt;=0,TEXT($K22-$J22,"[tt]:mm"),"-"&amp;TEXT(ABS($K22-$J22),"[tt]:mm")),
IF(
$K22-$J22-$G22&gt;=0,
TEXT($K22-$J22-$G22,"[tt]:mm"),
"-"&amp;TEXT(ABS($K22-$J22-$G22),"[tt]:mm")
)
)
)
))</f>
        <v>0:00</v>
      </c>
      <c r="N22" s="71" t="str">
        <f t="shared" ref="N22:N36" si="13">LEFT(M22,1)</f>
        <v>0</v>
      </c>
      <c r="O22" s="25" t="str">
        <f t="shared" si="5"/>
        <v>0:</v>
      </c>
      <c r="P22" s="52" t="str">
        <f t="shared" si="6"/>
        <v>0</v>
      </c>
      <c r="Q22" s="53">
        <f t="shared" si="10"/>
        <v>0</v>
      </c>
      <c r="R22" s="30">
        <f t="shared" ref="R22:R36" si="14">IF(N22="-",O22-Q22,O22+Q22)</f>
        <v>0</v>
      </c>
      <c r="S22" s="98"/>
      <c r="T22" s="98"/>
      <c r="U22" s="29"/>
      <c r="V22" s="29"/>
      <c r="W22" s="29" t="s">
        <v>124</v>
      </c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</row>
    <row r="23" spans="1:45" x14ac:dyDescent="0.3">
      <c r="A23" s="7">
        <f t="shared" si="2"/>
        <v>3</v>
      </c>
      <c r="B23" s="8">
        <f t="shared" si="9"/>
        <v>46037</v>
      </c>
      <c r="C23" s="9" t="str" cm="1">
        <f t="array" ref="C23">_xlfn.XLOOKUP(E23,Masterdata!$B$31:$B$44,Masterdata!$A$31:$A$44,_xlfn.SWITCH(WEEKDAY($D23, 2), 1, "mandag", 2, "tirsdag", 3, "onsdag", 4, "torsdag", 5, "fredag", 6, "lørdag", 7, "søndag"),0)</f>
        <v>torsdag</v>
      </c>
      <c r="D23" s="29">
        <f t="shared" si="0"/>
        <v>5</v>
      </c>
      <c r="E23" s="70">
        <f t="shared" si="3"/>
        <v>46037</v>
      </c>
      <c r="F23" s="10" t="s">
        <v>23</v>
      </c>
      <c r="G23" s="12">
        <f>IF(OR(AND(F23="N",NOT(OR(C23="mandag",C23="tirsdag",C23="onsdag",C23="torsdag",C23="fredag"))),F23="F"),0,
        IF(OR(
            AND(Masterdata!$B$4&lt;&gt;DATE(1900,1,0), Masterdata!$B$4&lt;$E23),
            AND(Masterdata!$B$3&lt;&gt;DATE(1900,1,0), Masterdata!$B$3&gt;$E23)
        ),
        0, $X$7/(5-H23)))</f>
        <v>0.30833333333333335</v>
      </c>
      <c r="H23" s="86">
        <f>SUMPRODUCT(COUNTIFS($A$9:$A$38,$A24,$D$9:$D$38,"&lt;7",$F$9:$F$38,"F")+COUNTIFS(Februar!$A$9:$A$39,$A24,Februar!$D$9:$D$39,"&lt;7",Februar!$F$9:$F$39,"F"))</f>
        <v>0</v>
      </c>
      <c r="I23" s="11">
        <v>0</v>
      </c>
      <c r="J23" s="11">
        <v>0</v>
      </c>
      <c r="K23" s="11">
        <v>0</v>
      </c>
      <c r="L23" s="26" t="str">
        <f t="shared" si="12"/>
        <v>07:24</v>
      </c>
      <c r="M23" s="26" t="str">
        <f>IF(OR(F23="N",F23="F"),"0:00",
IF(
OR(
AND(Masterdata!$B$4&lt;&gt;DATE(1900,1,0),Masterdata!$B$4&lt;$E23),
AND(Masterdata!$B$3&lt;&gt;DATE(1900,1,0),Masterdata!$B$3&gt;$E23)
),"0:00",
IF(
$I23&gt;TIME(0,0,0),
IF(
NOT(OR($C23="mandag",$C23="tirsdag",$C23="onsdag",$C23="torsdag",$C23="fredag")),
TEXT($I23,"[tt]:mm"),
IF($I23-$G23&gt;=0,TEXT($I23-$G23,"[tt]:mm"),"-"&amp;TEXT(ABS($I23-$G23),"[tt]:mm"))
),
IF(
NOT(OR($C23="mandag",$C23="tirsdag",$C23="onsdag",$C23="torsdag",$C23="fredag")),
IF($K23-$J23&gt;=0,TEXT($K23-$J23,"[tt]:mm"),"-"&amp;TEXT(ABS($K23-$J23),"[tt]:mm")),
IF(
$K23-$J23-$G23&gt;=0,
TEXT($K23-$J23-$G23,"[tt]:mm"),
"-"&amp;TEXT(ABS($K23-$J23-$G23),"[tt]:mm")
)
)
)
))</f>
        <v>0:00</v>
      </c>
      <c r="N23" s="71" t="str">
        <f t="shared" si="13"/>
        <v>0</v>
      </c>
      <c r="O23" s="25" t="str">
        <f t="shared" si="5"/>
        <v>0:</v>
      </c>
      <c r="P23" s="52" t="str">
        <f t="shared" si="6"/>
        <v>0</v>
      </c>
      <c r="Q23" s="53">
        <f t="shared" si="10"/>
        <v>0</v>
      </c>
      <c r="R23" s="30">
        <f t="shared" si="14"/>
        <v>0</v>
      </c>
      <c r="S23" s="98"/>
      <c r="T23" s="98"/>
      <c r="U23" s="29"/>
      <c r="V23" s="29"/>
      <c r="W23" s="29" t="s">
        <v>125</v>
      </c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</row>
    <row r="24" spans="1:45" x14ac:dyDescent="0.3">
      <c r="A24" s="7">
        <f t="shared" si="2"/>
        <v>3</v>
      </c>
      <c r="B24" s="8">
        <f t="shared" si="9"/>
        <v>46038</v>
      </c>
      <c r="C24" s="9" t="str" cm="1">
        <f t="array" ref="C24">_xlfn.XLOOKUP(E24,Masterdata!$B$31:$B$44,Masterdata!$A$31:$A$44,_xlfn.SWITCH(WEEKDAY($D24, 2), 1, "mandag", 2, "tirsdag", 3, "onsdag", 4, "torsdag", 5, "fredag", 6, "lørdag", 7, "søndag"),0)</f>
        <v>fredag</v>
      </c>
      <c r="D24" s="29">
        <f t="shared" si="0"/>
        <v>6</v>
      </c>
      <c r="E24" s="70">
        <f t="shared" si="3"/>
        <v>46038</v>
      </c>
      <c r="F24" s="10" t="s">
        <v>23</v>
      </c>
      <c r="G24" s="12">
        <f>IF(OR(AND(F24="N",NOT(OR(C24="mandag",C24="tirsdag",C24="onsdag",C24="torsdag",C24="fredag"))),F24="F"),0,
        IF(OR(
            AND(Masterdata!$B$4&lt;&gt;DATE(1900,1,0), Masterdata!$B$4&lt;$E24),
            AND(Masterdata!$B$3&lt;&gt;DATE(1900,1,0), Masterdata!$B$3&gt;$E24)
        ),
        0, $X$7/(5-H24)))</f>
        <v>0.30833333333333335</v>
      </c>
      <c r="H24" s="86">
        <f>SUMPRODUCT(COUNTIFS($A$9:$A$38,$A25,$D$9:$D$38,"&lt;7",$F$9:$F$38,"F")+COUNTIFS(Februar!$A$9:$A$39,$A25,Februar!$D$9:$D$39,"&lt;7",Februar!$F$9:$F$39,"F"))</f>
        <v>0</v>
      </c>
      <c r="I24" s="11">
        <v>0</v>
      </c>
      <c r="J24" s="11">
        <v>0</v>
      </c>
      <c r="K24" s="11">
        <v>0</v>
      </c>
      <c r="L24" s="26" t="str">
        <f t="shared" si="12"/>
        <v>07:24</v>
      </c>
      <c r="M24" s="26" t="str">
        <f>IF(OR(F24="N",F24="F"),"0:00",
IF(
OR(
AND(Masterdata!$B$4&lt;&gt;DATE(1900,1,0),Masterdata!$B$4&lt;$E24),
AND(Masterdata!$B$3&lt;&gt;DATE(1900,1,0),Masterdata!$B$3&gt;$E24)
),"0:00",
IF(
$I24&gt;TIME(0,0,0),
IF(
NOT(OR($C24="mandag",$C24="tirsdag",$C24="onsdag",$C24="torsdag",$C24="fredag")),
TEXT($I24,"[tt]:mm"),
IF($I24-$G24&gt;=0,TEXT($I24-$G24,"[tt]:mm"),"-"&amp;TEXT(ABS($I24-$G24),"[tt]:mm"))
),
IF(
NOT(OR($C24="mandag",$C24="tirsdag",$C24="onsdag",$C24="torsdag",$C24="fredag")),
IF($K24-$J24&gt;=0,TEXT($K24-$J24,"[tt]:mm"),"-"&amp;TEXT(ABS($K24-$J24),"[tt]:mm")),
IF(
$K24-$J24-$G24&gt;=0,
TEXT($K24-$J24-$G24,"[tt]:mm"),
"-"&amp;TEXT(ABS($K24-$J24-$G24),"[tt]:mm")
)
)
)
))</f>
        <v>0:00</v>
      </c>
      <c r="N24" s="71" t="str">
        <f t="shared" si="13"/>
        <v>0</v>
      </c>
      <c r="O24" s="25" t="str">
        <f t="shared" si="5"/>
        <v>0:</v>
      </c>
      <c r="P24" s="52" t="str">
        <f t="shared" si="6"/>
        <v>0</v>
      </c>
      <c r="Q24" s="53">
        <f t="shared" si="10"/>
        <v>0</v>
      </c>
      <c r="R24" s="30">
        <f t="shared" si="14"/>
        <v>0</v>
      </c>
      <c r="S24" s="98"/>
      <c r="T24" s="98"/>
      <c r="U24" s="29"/>
      <c r="V24" s="29"/>
      <c r="W24" s="29" t="s">
        <v>126</v>
      </c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</row>
    <row r="25" spans="1:45" x14ac:dyDescent="0.3">
      <c r="A25" s="7">
        <f t="shared" si="2"/>
        <v>3</v>
      </c>
      <c r="B25" s="8">
        <f t="shared" si="9"/>
        <v>46039</v>
      </c>
      <c r="C25" s="9" t="str" cm="1">
        <f t="array" ref="C25">_xlfn.XLOOKUP(E25,Masterdata!$B$31:$B$44,Masterdata!$A$31:$A$44,_xlfn.SWITCH(WEEKDAY($D25, 2), 1, "mandag", 2, "tirsdag", 3, "onsdag", 4, "torsdag", 5, "fredag", 6, "lørdag", 7, "søndag"),0)</f>
        <v>lørdag</v>
      </c>
      <c r="D25" s="29">
        <f t="shared" si="0"/>
        <v>7</v>
      </c>
      <c r="E25" s="70">
        <f t="shared" si="3"/>
        <v>46039</v>
      </c>
      <c r="F25" s="10" t="s">
        <v>23</v>
      </c>
      <c r="G25" s="12">
        <f>IF(OR(AND(F25="N",NOT(OR(C25="mandag",C25="tirsdag",C25="onsdag",C25="torsdag",C25="fredag"))),F25="F"),0,
        IF(OR(
            AND(Masterdata!$B$4&lt;&gt;DATE(1900,1,0), Masterdata!$B$4&lt;$E25),
            AND(Masterdata!$B$3&lt;&gt;DATE(1900,1,0), Masterdata!$B$3&gt;$E25)
        ),
        0, $X$7/(5-H25)))</f>
        <v>0</v>
      </c>
      <c r="H25" s="86">
        <f>SUMPRODUCT(COUNTIFS($A$9:$A$38,$A26,$D$9:$D$38,"&lt;7",$F$9:$F$38,"F")+COUNTIFS(Februar!$A$9:$A$39,$A26,Februar!$D$9:$D$39,"&lt;7",Februar!$F$9:$F$39,"F"))</f>
        <v>0</v>
      </c>
      <c r="I25" s="11">
        <v>0</v>
      </c>
      <c r="J25" s="11">
        <v>0</v>
      </c>
      <c r="K25" s="11">
        <v>0</v>
      </c>
      <c r="L25" s="26" t="str">
        <f t="shared" si="12"/>
        <v>00:00</v>
      </c>
      <c r="M25" s="26" t="str">
        <f>IF(OR(F25="N",F25="F"),"0:00",
IF(
OR(
AND(Masterdata!$B$4&lt;&gt;DATE(1900,1,0),Masterdata!$B$4&lt;$E25),
AND(Masterdata!$B$3&lt;&gt;DATE(1900,1,0),Masterdata!$B$3&gt;$E25)
),"0:00",
IF(
$I25&gt;TIME(0,0,0),
IF(
NOT(OR($C25="mandag",$C25="tirsdag",$C25="onsdag",$C25="torsdag",$C25="fredag")),
TEXT($I25,"[tt]:mm"),
IF($I25-$G25&gt;=0,TEXT($I25-$G25,"[tt]:mm"),"-"&amp;TEXT(ABS($I25-$G25),"[tt]:mm"))
),
IF(
NOT(OR($C25="mandag",$C25="tirsdag",$C25="onsdag",$C25="torsdag",$C25="fredag")),
IF($K25-$J25&gt;=0,TEXT($K25-$J25,"[tt]:mm"),"-"&amp;TEXT(ABS($K25-$J25),"[tt]:mm")),
IF(
$K25-$J25-$G25&gt;=0,
TEXT($K25-$J25-$G25,"[tt]:mm"),
"-"&amp;TEXT(ABS($K25-$J25-$G25),"[tt]:mm")
)
)
)
))</f>
        <v>0:00</v>
      </c>
      <c r="N25" s="71" t="str">
        <f t="shared" si="13"/>
        <v>0</v>
      </c>
      <c r="O25" s="25" t="str">
        <f t="shared" si="5"/>
        <v>0:</v>
      </c>
      <c r="P25" s="52" t="str">
        <f t="shared" si="6"/>
        <v>0</v>
      </c>
      <c r="Q25" s="53">
        <f t="shared" si="10"/>
        <v>0</v>
      </c>
      <c r="R25" s="30">
        <f t="shared" si="14"/>
        <v>0</v>
      </c>
      <c r="S25" s="98"/>
      <c r="T25" s="98"/>
      <c r="U25" s="29"/>
      <c r="V25" s="29"/>
      <c r="W25" s="29" t="s">
        <v>127</v>
      </c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</row>
    <row r="26" spans="1:45" x14ac:dyDescent="0.3">
      <c r="A26" s="7">
        <f t="shared" si="2"/>
        <v>3</v>
      </c>
      <c r="B26" s="8">
        <f t="shared" si="9"/>
        <v>46040</v>
      </c>
      <c r="C26" s="9" t="str" cm="1">
        <f t="array" ref="C26">_xlfn.XLOOKUP(E26,Masterdata!$B$31:$B$44,Masterdata!$A$31:$A$44,_xlfn.SWITCH(WEEKDAY($D26, 2), 1, "mandag", 2, "tirsdag", 3, "onsdag", 4, "torsdag", 5, "fredag", 6, "lørdag", 7, "søndag"),0)</f>
        <v>søndag</v>
      </c>
      <c r="D26" s="29">
        <f t="shared" si="0"/>
        <v>8</v>
      </c>
      <c r="E26" s="70">
        <f t="shared" si="3"/>
        <v>46040</v>
      </c>
      <c r="F26" s="10" t="s">
        <v>23</v>
      </c>
      <c r="G26" s="12">
        <f>IF(OR(AND(F26="N",NOT(OR(C26="mandag",C26="tirsdag",C26="onsdag",C26="torsdag",C26="fredag"))),F26="F"),0,
        IF(OR(
            AND(Masterdata!$B$4&lt;&gt;DATE(1900,1,0), Masterdata!$B$4&lt;$E26),
            AND(Masterdata!$B$3&lt;&gt;DATE(1900,1,0), Masterdata!$B$3&gt;$E26)
        ),
        0, $X$7/(5-H26)))</f>
        <v>0</v>
      </c>
      <c r="H26" s="86">
        <f>SUMPRODUCT(COUNTIFS($A$9:$A$38,$A27,$D$9:$D$38,"&lt;7",$F$9:$F$38,"F")+COUNTIFS(Februar!$A$9:$A$39,$A27,Februar!$D$9:$D$39,"&lt;7",Februar!$F$9:$F$39,"F"))</f>
        <v>0</v>
      </c>
      <c r="I26" s="11">
        <v>0</v>
      </c>
      <c r="J26" s="11">
        <v>0</v>
      </c>
      <c r="K26" s="11">
        <v>0</v>
      </c>
      <c r="L26" s="26" t="str">
        <f t="shared" si="12"/>
        <v>00:00</v>
      </c>
      <c r="M26" s="26" t="str">
        <f>IF(OR(F26="N",F26="F"),"0:00",
IF(
OR(
AND(Masterdata!$B$4&lt;&gt;DATE(1900,1,0),Masterdata!$B$4&lt;$E26),
AND(Masterdata!$B$3&lt;&gt;DATE(1900,1,0),Masterdata!$B$3&gt;$E26)
),"0:00",
IF(
$I26&gt;TIME(0,0,0),
IF(
NOT(OR($C26="mandag",$C26="tirsdag",$C26="onsdag",$C26="torsdag",$C26="fredag")),
TEXT($I26,"[tt]:mm"),
IF($I26-$G26&gt;=0,TEXT($I26-$G26,"[tt]:mm"),"-"&amp;TEXT(ABS($I26-$G26),"[tt]:mm"))
),
IF(
NOT(OR($C26="mandag",$C26="tirsdag",$C26="onsdag",$C26="torsdag",$C26="fredag")),
IF($K26-$J26&gt;=0,TEXT($K26-$J26,"[tt]:mm"),"-"&amp;TEXT(ABS($K26-$J26),"[tt]:mm")),
IF(
$K26-$J26-$G26&gt;=0,
TEXT($K26-$J26-$G26,"[tt]:mm"),
"-"&amp;TEXT(ABS($K26-$J26-$G26),"[tt]:mm")
)
)
)
))</f>
        <v>0:00</v>
      </c>
      <c r="N26" s="71" t="str">
        <f t="shared" si="13"/>
        <v>0</v>
      </c>
      <c r="O26" s="25" t="str">
        <f t="shared" si="5"/>
        <v>0:</v>
      </c>
      <c r="P26" s="52" t="str">
        <f t="shared" si="6"/>
        <v>0</v>
      </c>
      <c r="Q26" s="53">
        <f t="shared" si="10"/>
        <v>0</v>
      </c>
      <c r="R26" s="30">
        <f t="shared" si="14"/>
        <v>0</v>
      </c>
      <c r="S26" s="98"/>
      <c r="T26" s="98"/>
      <c r="U26" s="29"/>
      <c r="V26" s="29"/>
      <c r="W26" s="29" t="s">
        <v>128</v>
      </c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</row>
    <row r="27" spans="1:45" x14ac:dyDescent="0.3">
      <c r="A27" s="7">
        <f t="shared" si="2"/>
        <v>4</v>
      </c>
      <c r="B27" s="8">
        <f t="shared" si="9"/>
        <v>46041</v>
      </c>
      <c r="C27" s="9" t="str" cm="1">
        <f t="array" ref="C27">_xlfn.XLOOKUP(E27,Masterdata!$B$31:$B$44,Masterdata!$A$31:$A$44,_xlfn.SWITCH(WEEKDAY($D27, 2), 1, "mandag", 2, "tirsdag", 3, "onsdag", 4, "torsdag", 5, "fredag", 6, "lørdag", 7, "søndag"),0)</f>
        <v>mandag</v>
      </c>
      <c r="D27" s="29">
        <f t="shared" si="0"/>
        <v>2</v>
      </c>
      <c r="E27" s="70">
        <f t="shared" si="3"/>
        <v>46041</v>
      </c>
      <c r="F27" s="10" t="s">
        <v>23</v>
      </c>
      <c r="G27" s="12">
        <f>IF(OR(AND(F27="N",NOT(OR(C27="mandag",C27="tirsdag",C27="onsdag",C27="torsdag",C27="fredag"))),F27="F"),0,
        IF(OR(
            AND(Masterdata!$B$4&lt;&gt;DATE(1900,1,0), Masterdata!$B$4&lt;$E27),
            AND(Masterdata!$B$3&lt;&gt;DATE(1900,1,0), Masterdata!$B$3&gt;$E27)
        ),
        0, $X$7/(5-H27)))</f>
        <v>0.30833333333333335</v>
      </c>
      <c r="H27" s="86">
        <f>SUMPRODUCT(COUNTIFS($A$9:$A$38,$A28,$D$9:$D$38,"&lt;7",$F$9:$F$38,"F")+COUNTIFS(Februar!$A$9:$A$39,$A28,Februar!$D$9:$D$39,"&lt;7",Februar!$F$9:$F$39,"F"))</f>
        <v>0</v>
      </c>
      <c r="I27" s="11">
        <v>0</v>
      </c>
      <c r="J27" s="11">
        <v>0</v>
      </c>
      <c r="K27" s="11">
        <v>0</v>
      </c>
      <c r="L27" s="26" t="str">
        <f t="shared" si="12"/>
        <v>07:24</v>
      </c>
      <c r="M27" s="26" t="str">
        <f>IF(OR(F27="N",F27="F"),"0:00",
IF(
OR(
AND(Masterdata!$B$4&lt;&gt;DATE(1900,1,0),Masterdata!$B$4&lt;$E27),
AND(Masterdata!$B$3&lt;&gt;DATE(1900,1,0),Masterdata!$B$3&gt;$E27)
),"0:00",
IF(
$I27&gt;TIME(0,0,0),
IF(
NOT(OR($C27="mandag",$C27="tirsdag",$C27="onsdag",$C27="torsdag",$C27="fredag")),
TEXT($I27,"[tt]:mm"),
IF($I27-$G27&gt;=0,TEXT($I27-$G27,"[tt]:mm"),"-"&amp;TEXT(ABS($I27-$G27),"[tt]:mm"))
),
IF(
NOT(OR($C27="mandag",$C27="tirsdag",$C27="onsdag",$C27="torsdag",$C27="fredag")),
IF($K27-$J27&gt;=0,TEXT($K27-$J27,"[tt]:mm"),"-"&amp;TEXT(ABS($K27-$J27),"[tt]:mm")),
IF(
$K27-$J27-$G27&gt;=0,
TEXT($K27-$J27-$G27,"[tt]:mm"),
"-"&amp;TEXT(ABS($K27-$J27-$G27),"[tt]:mm")
)
)
)
))</f>
        <v>0:00</v>
      </c>
      <c r="N27" s="71" t="str">
        <f t="shared" si="13"/>
        <v>0</v>
      </c>
      <c r="O27" s="25" t="str">
        <f t="shared" si="5"/>
        <v>0:</v>
      </c>
      <c r="P27" s="52" t="str">
        <f t="shared" si="6"/>
        <v>0</v>
      </c>
      <c r="Q27" s="53">
        <f t="shared" si="10"/>
        <v>0</v>
      </c>
      <c r="R27" s="30">
        <f t="shared" si="14"/>
        <v>0</v>
      </c>
      <c r="S27" s="98"/>
      <c r="T27" s="98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</row>
    <row r="28" spans="1:45" x14ac:dyDescent="0.3">
      <c r="A28" s="7">
        <f t="shared" si="2"/>
        <v>4</v>
      </c>
      <c r="B28" s="8">
        <f t="shared" si="9"/>
        <v>46042</v>
      </c>
      <c r="C28" s="9" t="str" cm="1">
        <f t="array" ref="C28">_xlfn.XLOOKUP(E28,Masterdata!$B$31:$B$44,Masterdata!$A$31:$A$44,_xlfn.SWITCH(WEEKDAY($D28, 2), 1, "mandag", 2, "tirsdag", 3, "onsdag", 4, "torsdag", 5, "fredag", 6, "lørdag", 7, "søndag"),0)</f>
        <v>tirsdag</v>
      </c>
      <c r="D28" s="29">
        <f t="shared" si="0"/>
        <v>3</v>
      </c>
      <c r="E28" s="70">
        <f t="shared" si="3"/>
        <v>46042</v>
      </c>
      <c r="F28" s="10" t="s">
        <v>23</v>
      </c>
      <c r="G28" s="12">
        <f>IF(OR(AND(F28="N",NOT(OR(C28="mandag",C28="tirsdag",C28="onsdag",C28="torsdag",C28="fredag"))),F28="F"),0,
        IF(OR(
            AND(Masterdata!$B$4&lt;&gt;DATE(1900,1,0), Masterdata!$B$4&lt;$E28),
            AND(Masterdata!$B$3&lt;&gt;DATE(1900,1,0), Masterdata!$B$3&gt;$E28)
        ),
        0, $X$7/(5-H28)))</f>
        <v>0.30833333333333335</v>
      </c>
      <c r="H28" s="86">
        <f>SUMPRODUCT(COUNTIFS($A$9:$A$38,$A29,$D$9:$D$38,"&lt;7",$F$9:$F$38,"F")+COUNTIFS(Februar!$A$9:$A$39,$A29,Februar!$D$9:$D$39,"&lt;7",Februar!$F$9:$F$39,"F"))</f>
        <v>0</v>
      </c>
      <c r="I28" s="11">
        <v>0</v>
      </c>
      <c r="J28" s="11">
        <v>0</v>
      </c>
      <c r="K28" s="11">
        <v>0</v>
      </c>
      <c r="L28" s="26" t="str">
        <f t="shared" si="12"/>
        <v>07:24</v>
      </c>
      <c r="M28" s="26" t="str">
        <f>IF(OR(F28="N",F28="F"),"0:00",
IF(
OR(
AND(Masterdata!$B$4&lt;&gt;DATE(1900,1,0),Masterdata!$B$4&lt;$E28),
AND(Masterdata!$B$3&lt;&gt;DATE(1900,1,0),Masterdata!$B$3&gt;$E28)
),"0:00",
IF(
$I28&gt;TIME(0,0,0),
IF(
NOT(OR($C28="mandag",$C28="tirsdag",$C28="onsdag",$C28="torsdag",$C28="fredag")),
TEXT($I28,"[tt]:mm"),
IF($I28-$G28&gt;=0,TEXT($I28-$G28,"[tt]:mm"),"-"&amp;TEXT(ABS($I28-$G28),"[tt]:mm"))
),
IF(
NOT(OR($C28="mandag",$C28="tirsdag",$C28="onsdag",$C28="torsdag",$C28="fredag")),
IF($K28-$J28&gt;=0,TEXT($K28-$J28,"[tt]:mm"),"-"&amp;TEXT(ABS($K28-$J28),"[tt]:mm")),
IF(
$K28-$J28-$G28&gt;=0,
TEXT($K28-$J28-$G28,"[tt]:mm"),
"-"&amp;TEXT(ABS($K28-$J28-$G28),"[tt]:mm")
)
)
)
))</f>
        <v>0:00</v>
      </c>
      <c r="N28" s="71" t="str">
        <f t="shared" si="13"/>
        <v>0</v>
      </c>
      <c r="O28" s="25" t="str">
        <f t="shared" si="5"/>
        <v>0:</v>
      </c>
      <c r="P28" s="52" t="str">
        <f t="shared" si="6"/>
        <v>0</v>
      </c>
      <c r="Q28" s="53">
        <f t="shared" si="10"/>
        <v>0</v>
      </c>
      <c r="R28" s="30">
        <f t="shared" si="14"/>
        <v>0</v>
      </c>
      <c r="S28" s="98"/>
      <c r="T28" s="98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</row>
    <row r="29" spans="1:45" x14ac:dyDescent="0.3">
      <c r="A29" s="7">
        <f t="shared" si="2"/>
        <v>4</v>
      </c>
      <c r="B29" s="8">
        <f t="shared" si="9"/>
        <v>46043</v>
      </c>
      <c r="C29" s="9" t="str" cm="1">
        <f t="array" ref="C29">_xlfn.XLOOKUP(E29,Masterdata!$B$31:$B$44,Masterdata!$A$31:$A$44,_xlfn.SWITCH(WEEKDAY($D29, 2), 1, "mandag", 2, "tirsdag", 3, "onsdag", 4, "torsdag", 5, "fredag", 6, "lørdag", 7, "søndag"),0)</f>
        <v>onsdag</v>
      </c>
      <c r="D29" s="29">
        <f t="shared" si="0"/>
        <v>4</v>
      </c>
      <c r="E29" s="70">
        <f t="shared" si="3"/>
        <v>46043</v>
      </c>
      <c r="F29" s="10" t="s">
        <v>23</v>
      </c>
      <c r="G29" s="12">
        <f>IF(OR(AND(F29="N",NOT(OR(C29="mandag",C29="tirsdag",C29="onsdag",C29="torsdag",C29="fredag"))),F29="F"),0,
        IF(OR(
            AND(Masterdata!$B$4&lt;&gt;DATE(1900,1,0), Masterdata!$B$4&lt;$E29),
            AND(Masterdata!$B$3&lt;&gt;DATE(1900,1,0), Masterdata!$B$3&gt;$E29)
        ),
        0, $X$7/(5-H29)))</f>
        <v>0.30833333333333335</v>
      </c>
      <c r="H29" s="86">
        <f>SUMPRODUCT(COUNTIFS($A$9:$A$38,$A30,$D$9:$D$38,"&lt;7",$F$9:$F$38,"F")+COUNTIFS(Februar!$A$9:$A$39,$A30,Februar!$D$9:$D$39,"&lt;7",Februar!$F$9:$F$39,"F"))</f>
        <v>0</v>
      </c>
      <c r="I29" s="11">
        <v>0</v>
      </c>
      <c r="J29" s="11">
        <v>0</v>
      </c>
      <c r="K29" s="11">
        <v>0</v>
      </c>
      <c r="L29" s="26" t="str">
        <f t="shared" si="12"/>
        <v>07:24</v>
      </c>
      <c r="M29" s="26" t="str">
        <f>IF(OR(F29="N",F29="F"),"0:00",
IF(
OR(
AND(Masterdata!$B$4&lt;&gt;DATE(1900,1,0),Masterdata!$B$4&lt;$E29),
AND(Masterdata!$B$3&lt;&gt;DATE(1900,1,0),Masterdata!$B$3&gt;$E29)
),"0:00",
IF(
$I29&gt;TIME(0,0,0),
IF(
NOT(OR($C29="mandag",$C29="tirsdag",$C29="onsdag",$C29="torsdag",$C29="fredag")),
TEXT($I29,"[tt]:mm"),
IF($I29-$G29&gt;=0,TEXT($I29-$G29,"[tt]:mm"),"-"&amp;TEXT(ABS($I29-$G29),"[tt]:mm"))
),
IF(
NOT(OR($C29="mandag",$C29="tirsdag",$C29="onsdag",$C29="torsdag",$C29="fredag")),
IF($K29-$J29&gt;=0,TEXT($K29-$J29,"[tt]:mm"),"-"&amp;TEXT(ABS($K29-$J29),"[tt]:mm")),
IF(
$K29-$J29-$G29&gt;=0,
TEXT($K29-$J29-$G29,"[tt]:mm"),
"-"&amp;TEXT(ABS($K29-$J29-$G29),"[tt]:mm")
)
)
)
))</f>
        <v>0:00</v>
      </c>
      <c r="N29" s="71" t="str">
        <f t="shared" si="13"/>
        <v>0</v>
      </c>
      <c r="O29" s="25" t="str">
        <f t="shared" si="5"/>
        <v>0:</v>
      </c>
      <c r="P29" s="52" t="str">
        <f t="shared" si="6"/>
        <v>0</v>
      </c>
      <c r="Q29" s="53">
        <f t="shared" si="10"/>
        <v>0</v>
      </c>
      <c r="R29" s="30">
        <f t="shared" si="14"/>
        <v>0</v>
      </c>
      <c r="S29" s="98"/>
      <c r="T29" s="98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</row>
    <row r="30" spans="1:45" x14ac:dyDescent="0.3">
      <c r="A30" s="7">
        <f t="shared" si="2"/>
        <v>4</v>
      </c>
      <c r="B30" s="8">
        <f t="shared" si="9"/>
        <v>46044</v>
      </c>
      <c r="C30" s="9" t="str" cm="1">
        <f t="array" ref="C30">_xlfn.XLOOKUP(E30,Masterdata!$B$31:$B$44,Masterdata!$A$31:$A$44,_xlfn.SWITCH(WEEKDAY($D30, 2), 1, "mandag", 2, "tirsdag", 3, "onsdag", 4, "torsdag", 5, "fredag", 6, "lørdag", 7, "søndag"),0)</f>
        <v>torsdag</v>
      </c>
      <c r="D30" s="29">
        <f t="shared" si="0"/>
        <v>5</v>
      </c>
      <c r="E30" s="70">
        <f t="shared" si="3"/>
        <v>46044</v>
      </c>
      <c r="F30" s="10" t="s">
        <v>23</v>
      </c>
      <c r="G30" s="12">
        <f>IF(OR(AND(F30="N",NOT(OR(C30="mandag",C30="tirsdag",C30="onsdag",C30="torsdag",C30="fredag"))),F30="F"),0,
        IF(OR(
            AND(Masterdata!$B$4&lt;&gt;DATE(1900,1,0), Masterdata!$B$4&lt;$E30),
            AND(Masterdata!$B$3&lt;&gt;DATE(1900,1,0), Masterdata!$B$3&gt;$E30)
        ),
        0, $X$7/(5-H30)))</f>
        <v>0.30833333333333335</v>
      </c>
      <c r="H30" s="86">
        <f>SUMPRODUCT(COUNTIFS($A$9:$A$38,$A31,$D$9:$D$38,"&lt;7",$F$9:$F$38,"F")+COUNTIFS(Februar!$A$9:$A$39,$A31,Februar!$D$9:$D$39,"&lt;7",Februar!$F$9:$F$39,"F"))</f>
        <v>0</v>
      </c>
      <c r="I30" s="11">
        <v>0</v>
      </c>
      <c r="J30" s="11">
        <v>0</v>
      </c>
      <c r="K30" s="11">
        <v>0</v>
      </c>
      <c r="L30" s="26" t="str">
        <f t="shared" si="12"/>
        <v>07:24</v>
      </c>
      <c r="M30" s="26" t="str">
        <f>IF(OR(F30="N",F30="F"),"0:00",
IF(
OR(
AND(Masterdata!$B$4&lt;&gt;DATE(1900,1,0),Masterdata!$B$4&lt;$E30),
AND(Masterdata!$B$3&lt;&gt;DATE(1900,1,0),Masterdata!$B$3&gt;$E30)
),"0:00",
IF(
$I30&gt;TIME(0,0,0),
IF(
NOT(OR($C30="mandag",$C30="tirsdag",$C30="onsdag",$C30="torsdag",$C30="fredag")),
TEXT($I30,"[tt]:mm"),
IF($I30-$G30&gt;=0,TEXT($I30-$G30,"[tt]:mm"),"-"&amp;TEXT(ABS($I30-$G30),"[tt]:mm"))
),
IF(
NOT(OR($C30="mandag",$C30="tirsdag",$C30="onsdag",$C30="torsdag",$C30="fredag")),
IF($K30-$J30&gt;=0,TEXT($K30-$J30,"[tt]:mm"),"-"&amp;TEXT(ABS($K30-$J30),"[tt]:mm")),
IF(
$K30-$J30-$G30&gt;=0,
TEXT($K30-$J30-$G30,"[tt]:mm"),
"-"&amp;TEXT(ABS($K30-$J30-$G30),"[tt]:mm")
)
)
)
))</f>
        <v>0:00</v>
      </c>
      <c r="N30" s="71" t="str">
        <f t="shared" si="13"/>
        <v>0</v>
      </c>
      <c r="O30" s="25" t="str">
        <f t="shared" si="5"/>
        <v>0:</v>
      </c>
      <c r="P30" s="52" t="str">
        <f t="shared" si="6"/>
        <v>0</v>
      </c>
      <c r="Q30" s="53">
        <f t="shared" si="10"/>
        <v>0</v>
      </c>
      <c r="R30" s="30">
        <f t="shared" si="14"/>
        <v>0</v>
      </c>
      <c r="S30" s="98"/>
      <c r="T30" s="98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</row>
    <row r="31" spans="1:45" x14ac:dyDescent="0.3">
      <c r="A31" s="7">
        <f t="shared" si="2"/>
        <v>4</v>
      </c>
      <c r="B31" s="8">
        <f t="shared" si="9"/>
        <v>46045</v>
      </c>
      <c r="C31" s="9" t="str" cm="1">
        <f t="array" ref="C31">_xlfn.XLOOKUP(E31,Masterdata!$B$31:$B$44,Masterdata!$A$31:$A$44,_xlfn.SWITCH(WEEKDAY($D31, 2), 1, "mandag", 2, "tirsdag", 3, "onsdag", 4, "torsdag", 5, "fredag", 6, "lørdag", 7, "søndag"),0)</f>
        <v>fredag</v>
      </c>
      <c r="D31" s="29">
        <f t="shared" si="0"/>
        <v>6</v>
      </c>
      <c r="E31" s="70">
        <f t="shared" si="3"/>
        <v>46045</v>
      </c>
      <c r="F31" s="10" t="s">
        <v>23</v>
      </c>
      <c r="G31" s="12">
        <f>IF(OR(AND(F31="N",NOT(OR(C31="mandag",C31="tirsdag",C31="onsdag",C31="torsdag",C31="fredag"))),F31="F"),0,
        IF(OR(
            AND(Masterdata!$B$4&lt;&gt;DATE(1900,1,0), Masterdata!$B$4&lt;$E31),
            AND(Masterdata!$B$3&lt;&gt;DATE(1900,1,0), Masterdata!$B$3&gt;$E31)
        ),
        0, $X$7/(5-H31)))</f>
        <v>0.30833333333333335</v>
      </c>
      <c r="H31" s="86">
        <f>SUMPRODUCT(COUNTIFS($A$9:$A$38,$A32,$D$9:$D$38,"&lt;7",$F$9:$F$38,"F")+COUNTIFS(Februar!$A$9:$A$39,$A32,Februar!$D$9:$D$39,"&lt;7",Februar!$F$9:$F$39,"F"))</f>
        <v>0</v>
      </c>
      <c r="I31" s="11">
        <v>0</v>
      </c>
      <c r="J31" s="11">
        <v>0</v>
      </c>
      <c r="K31" s="11">
        <v>0</v>
      </c>
      <c r="L31" s="26" t="str">
        <f t="shared" si="12"/>
        <v>07:24</v>
      </c>
      <c r="M31" s="26" t="str">
        <f>IF(OR(F31="N",F31="F"),"0:00",
IF(
OR(
AND(Masterdata!$B$4&lt;&gt;DATE(1900,1,0),Masterdata!$B$4&lt;$E31),
AND(Masterdata!$B$3&lt;&gt;DATE(1900,1,0),Masterdata!$B$3&gt;$E31)
),"0:00",
IF(
$I31&gt;TIME(0,0,0),
IF(
NOT(OR($C31="mandag",$C31="tirsdag",$C31="onsdag",$C31="torsdag",$C31="fredag")),
TEXT($I31,"[tt]:mm"),
IF($I31-$G31&gt;=0,TEXT($I31-$G31,"[tt]:mm"),"-"&amp;TEXT(ABS($I31-$G31),"[tt]:mm"))
),
IF(
NOT(OR($C31="mandag",$C31="tirsdag",$C31="onsdag",$C31="torsdag",$C31="fredag")),
IF($K31-$J31&gt;=0,TEXT($K31-$J31,"[tt]:mm"),"-"&amp;TEXT(ABS($K31-$J31),"[tt]:mm")),
IF(
$K31-$J31-$G31&gt;=0,
TEXT($K31-$J31-$G31,"[tt]:mm"),
"-"&amp;TEXT(ABS($K31-$J31-$G31),"[tt]:mm")
)
)
)
))</f>
        <v>0:00</v>
      </c>
      <c r="N31" s="71" t="str">
        <f t="shared" si="13"/>
        <v>0</v>
      </c>
      <c r="O31" s="25" t="str">
        <f t="shared" si="5"/>
        <v>0:</v>
      </c>
      <c r="P31" s="52" t="str">
        <f t="shared" si="6"/>
        <v>0</v>
      </c>
      <c r="Q31" s="53">
        <f t="shared" si="10"/>
        <v>0</v>
      </c>
      <c r="R31" s="30">
        <f t="shared" si="14"/>
        <v>0</v>
      </c>
      <c r="S31" s="98"/>
      <c r="T31" s="98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</row>
    <row r="32" spans="1:45" x14ac:dyDescent="0.3">
      <c r="A32" s="7">
        <f t="shared" si="2"/>
        <v>4</v>
      </c>
      <c r="B32" s="8">
        <f t="shared" si="9"/>
        <v>46046</v>
      </c>
      <c r="C32" s="9" t="str" cm="1">
        <f t="array" ref="C32">_xlfn.XLOOKUP(E32,Masterdata!$B$31:$B$44,Masterdata!$A$31:$A$44,_xlfn.SWITCH(WEEKDAY($D32, 2), 1, "mandag", 2, "tirsdag", 3, "onsdag", 4, "torsdag", 5, "fredag", 6, "lørdag", 7, "søndag"),0)</f>
        <v>lørdag</v>
      </c>
      <c r="D32" s="29">
        <f t="shared" si="0"/>
        <v>7</v>
      </c>
      <c r="E32" s="70">
        <f t="shared" si="3"/>
        <v>46046</v>
      </c>
      <c r="F32" s="10" t="s">
        <v>23</v>
      </c>
      <c r="G32" s="12">
        <f>IF(OR(AND(F32="N",NOT(OR(C32="mandag",C32="tirsdag",C32="onsdag",C32="torsdag",C32="fredag"))),F32="F"),0,
        IF(OR(
            AND(Masterdata!$B$4&lt;&gt;DATE(1900,1,0), Masterdata!$B$4&lt;$E32),
            AND(Masterdata!$B$3&lt;&gt;DATE(1900,1,0), Masterdata!$B$3&gt;$E32)
        ),
        0, $X$7/(5-H32)))</f>
        <v>0</v>
      </c>
      <c r="H32" s="86">
        <f>SUMPRODUCT(COUNTIFS($A$9:$A$38,$A33,$D$9:$D$38,"&lt;7",$F$9:$F$38,"F")+COUNTIFS(Februar!$A$9:$A$39,$A33,Februar!$D$9:$D$39,"&lt;7",Februar!$F$9:$F$39,"F"))</f>
        <v>0</v>
      </c>
      <c r="I32" s="11">
        <v>0</v>
      </c>
      <c r="J32" s="11">
        <v>0</v>
      </c>
      <c r="K32" s="11">
        <v>0</v>
      </c>
      <c r="L32" s="26" t="str">
        <f t="shared" si="12"/>
        <v>00:00</v>
      </c>
      <c r="M32" s="26" t="str">
        <f>IF(OR(F32="N",F32="F"),"0:00",
IF(
OR(
AND(Masterdata!$B$4&lt;&gt;DATE(1900,1,0),Masterdata!$B$4&lt;$E32),
AND(Masterdata!$B$3&lt;&gt;DATE(1900,1,0),Masterdata!$B$3&gt;$E32)
),"0:00",
IF(
$I32&gt;TIME(0,0,0),
IF(
NOT(OR($C32="mandag",$C32="tirsdag",$C32="onsdag",$C32="torsdag",$C32="fredag")),
TEXT($I32,"[tt]:mm"),
IF($I32-$G32&gt;=0,TEXT($I32-$G32,"[tt]:mm"),"-"&amp;TEXT(ABS($I32-$G32),"[tt]:mm"))
),
IF(
NOT(OR($C32="mandag",$C32="tirsdag",$C32="onsdag",$C32="torsdag",$C32="fredag")),
IF($K32-$J32&gt;=0,TEXT($K32-$J32,"[tt]:mm"),"-"&amp;TEXT(ABS($K32-$J32),"[tt]:mm")),
IF(
$K32-$J32-$G32&gt;=0,
TEXT($K32-$J32-$G32,"[tt]:mm"),
"-"&amp;TEXT(ABS($K32-$J32-$G32),"[tt]:mm")
)
)
)
))</f>
        <v>0:00</v>
      </c>
      <c r="N32" s="71" t="str">
        <f t="shared" si="13"/>
        <v>0</v>
      </c>
      <c r="O32" s="25" t="str">
        <f t="shared" si="5"/>
        <v>0:</v>
      </c>
      <c r="P32" s="52" t="str">
        <f t="shared" si="6"/>
        <v>0</v>
      </c>
      <c r="Q32" s="53">
        <f t="shared" si="10"/>
        <v>0</v>
      </c>
      <c r="R32" s="30">
        <f t="shared" si="14"/>
        <v>0</v>
      </c>
      <c r="S32" s="98"/>
      <c r="T32" s="98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</row>
    <row r="33" spans="1:45" x14ac:dyDescent="0.3">
      <c r="A33" s="7">
        <f t="shared" si="2"/>
        <v>4</v>
      </c>
      <c r="B33" s="8">
        <f t="shared" si="9"/>
        <v>46047</v>
      </c>
      <c r="C33" s="9" t="str" cm="1">
        <f t="array" ref="C33">_xlfn.XLOOKUP(E33,Masterdata!$B$31:$B$44,Masterdata!$A$31:$A$44,_xlfn.SWITCH(WEEKDAY($D33, 2), 1, "mandag", 2, "tirsdag", 3, "onsdag", 4, "torsdag", 5, "fredag", 6, "lørdag", 7, "søndag"),0)</f>
        <v>søndag</v>
      </c>
      <c r="D33" s="29">
        <f t="shared" si="0"/>
        <v>8</v>
      </c>
      <c r="E33" s="70">
        <f t="shared" si="3"/>
        <v>46047</v>
      </c>
      <c r="F33" s="10" t="s">
        <v>23</v>
      </c>
      <c r="G33" s="12">
        <f>IF(OR(AND(F33="N",NOT(OR(C33="mandag",C33="tirsdag",C33="onsdag",C33="torsdag",C33="fredag"))),F33="F"),0,
        IF(OR(
            AND(Masterdata!$B$4&lt;&gt;DATE(1900,1,0), Masterdata!$B$4&lt;$E33),
            AND(Masterdata!$B$3&lt;&gt;DATE(1900,1,0), Masterdata!$B$3&gt;$E33)
        ),
        0, $X$7/(5-H33)))</f>
        <v>0</v>
      </c>
      <c r="H33" s="86">
        <f>SUMPRODUCT(COUNTIFS($A$9:$A$38,$A34,$D$9:$D$38,"&lt;7",$F$9:$F$38,"F")+COUNTIFS(Februar!$A$9:$A$39,$A34,Februar!$D$9:$D$39,"&lt;7",Februar!$F$9:$F$39,"F"))</f>
        <v>0</v>
      </c>
      <c r="I33" s="11">
        <v>0</v>
      </c>
      <c r="J33" s="11">
        <v>0</v>
      </c>
      <c r="K33" s="11">
        <v>0</v>
      </c>
      <c r="L33" s="26" t="str">
        <f t="shared" si="12"/>
        <v>00:00</v>
      </c>
      <c r="M33" s="26" t="str">
        <f>IF(OR(F33="N",F33="F"),"0:00",
IF(
OR(
AND(Masterdata!$B$4&lt;&gt;DATE(1900,1,0),Masterdata!$B$4&lt;$E33),
AND(Masterdata!$B$3&lt;&gt;DATE(1900,1,0),Masterdata!$B$3&gt;$E33)
),"0:00",
IF(
$I33&gt;TIME(0,0,0),
IF(
NOT(OR($C33="mandag",$C33="tirsdag",$C33="onsdag",$C33="torsdag",$C33="fredag")),
TEXT($I33,"[tt]:mm"),
IF($I33-$G33&gt;=0,TEXT($I33-$G33,"[tt]:mm"),"-"&amp;TEXT(ABS($I33-$G33),"[tt]:mm"))
),
IF(
NOT(OR($C33="mandag",$C33="tirsdag",$C33="onsdag",$C33="torsdag",$C33="fredag")),
IF($K33-$J33&gt;=0,TEXT($K33-$J33,"[tt]:mm"),"-"&amp;TEXT(ABS($K33-$J33),"[tt]:mm")),
IF(
$K33-$J33-$G33&gt;=0,
TEXT($K33-$J33-$G33,"[tt]:mm"),
"-"&amp;TEXT(ABS($K33-$J33-$G33),"[tt]:mm")
)
)
)
))</f>
        <v>0:00</v>
      </c>
      <c r="N33" s="71" t="str">
        <f t="shared" si="13"/>
        <v>0</v>
      </c>
      <c r="O33" s="25" t="str">
        <f t="shared" si="5"/>
        <v>0:</v>
      </c>
      <c r="P33" s="52" t="str">
        <f t="shared" si="6"/>
        <v>0</v>
      </c>
      <c r="Q33" s="53">
        <f t="shared" si="10"/>
        <v>0</v>
      </c>
      <c r="R33" s="30">
        <f t="shared" si="14"/>
        <v>0</v>
      </c>
      <c r="S33" s="98"/>
      <c r="T33" s="98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</row>
    <row r="34" spans="1:45" x14ac:dyDescent="0.3">
      <c r="A34" s="7">
        <f t="shared" si="2"/>
        <v>5</v>
      </c>
      <c r="B34" s="8">
        <f t="shared" si="9"/>
        <v>46048</v>
      </c>
      <c r="C34" s="9" t="str" cm="1">
        <f t="array" ref="C34">_xlfn.XLOOKUP(E34,Masterdata!$B$31:$B$44,Masterdata!$A$31:$A$44,_xlfn.SWITCH(WEEKDAY($D34, 2), 1, "mandag", 2, "tirsdag", 3, "onsdag", 4, "torsdag", 5, "fredag", 6, "lørdag", 7, "søndag"),0)</f>
        <v>mandag</v>
      </c>
      <c r="D34" s="29">
        <f t="shared" si="0"/>
        <v>2</v>
      </c>
      <c r="E34" s="70">
        <f t="shared" si="3"/>
        <v>46048</v>
      </c>
      <c r="F34" s="10" t="s">
        <v>23</v>
      </c>
      <c r="G34" s="12">
        <f>IF(OR(AND(F34="N",NOT(OR(C34="mandag",C34="tirsdag",C34="onsdag",C34="torsdag",C34="fredag"))),F34="F"),0,
        IF(OR(
            AND(Masterdata!$B$4&lt;&gt;DATE(1900,1,0), Masterdata!$B$4&lt;$E34),
            AND(Masterdata!$B$3&lt;&gt;DATE(1900,1,0), Masterdata!$B$3&gt;$E34)
        ),
        0, $X$7/(5-H34)))</f>
        <v>0.30833333333333335</v>
      </c>
      <c r="H34" s="86">
        <f>SUMPRODUCT(COUNTIFS($A$9:$A$38,$A35,$D$9:$D$38,"&lt;7",$F$9:$F$38,"F")+COUNTIFS(Februar!$A$9:$A$39,$A35,Februar!$D$9:$D$39,"&lt;7",Februar!$F$9:$F$39,"F"))</f>
        <v>0</v>
      </c>
      <c r="I34" s="11">
        <v>0</v>
      </c>
      <c r="J34" s="11">
        <v>0</v>
      </c>
      <c r="K34" s="11">
        <v>0</v>
      </c>
      <c r="L34" s="26" t="str">
        <f t="shared" si="12"/>
        <v>07:24</v>
      </c>
      <c r="M34" s="26" t="str">
        <f>IF(OR(F34="N",F34="F"),"0:00",
IF(
OR(
AND(Masterdata!$B$4&lt;&gt;DATE(1900,1,0),Masterdata!$B$4&lt;$E34),
AND(Masterdata!$B$3&lt;&gt;DATE(1900,1,0),Masterdata!$B$3&gt;$E34)
),"0:00",
IF(
$I34&gt;TIME(0,0,0),
IF(
NOT(OR($C34="mandag",$C34="tirsdag",$C34="onsdag",$C34="torsdag",$C34="fredag")),
TEXT($I34,"[tt]:mm"),
IF($I34-$G34&gt;=0,TEXT($I34-$G34,"[tt]:mm"),"-"&amp;TEXT(ABS($I34-$G34),"[tt]:mm"))
),
IF(
NOT(OR($C34="mandag",$C34="tirsdag",$C34="onsdag",$C34="torsdag",$C34="fredag")),
IF($K34-$J34&gt;=0,TEXT($K34-$J34,"[tt]:mm"),"-"&amp;TEXT(ABS($K34-$J34),"[tt]:mm")),
IF(
$K34-$J34-$G34&gt;=0,
TEXT($K34-$J34-$G34,"[tt]:mm"),
"-"&amp;TEXT(ABS($K34-$J34-$G34),"[tt]:mm")
)
)
)
))</f>
        <v>0:00</v>
      </c>
      <c r="N34" s="71" t="str">
        <f t="shared" si="13"/>
        <v>0</v>
      </c>
      <c r="O34" s="25" t="str">
        <f t="shared" si="5"/>
        <v>0:</v>
      </c>
      <c r="P34" s="52" t="str">
        <f t="shared" si="6"/>
        <v>0</v>
      </c>
      <c r="Q34" s="53">
        <f t="shared" si="10"/>
        <v>0</v>
      </c>
      <c r="R34" s="30">
        <f t="shared" si="14"/>
        <v>0</v>
      </c>
      <c r="S34" s="98"/>
      <c r="T34" s="98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</row>
    <row r="35" spans="1:45" x14ac:dyDescent="0.3">
      <c r="A35" s="7">
        <f t="shared" si="2"/>
        <v>5</v>
      </c>
      <c r="B35" s="8">
        <f t="shared" si="9"/>
        <v>46049</v>
      </c>
      <c r="C35" s="9" t="str" cm="1">
        <f t="array" ref="C35">_xlfn.XLOOKUP(E35,Masterdata!$B$31:$B$44,Masterdata!$A$31:$A$44,_xlfn.SWITCH(WEEKDAY($D35, 2), 1, "mandag", 2, "tirsdag", 3, "onsdag", 4, "torsdag", 5, "fredag", 6, "lørdag", 7, "søndag"),0)</f>
        <v>tirsdag</v>
      </c>
      <c r="D35" s="29">
        <f t="shared" si="0"/>
        <v>3</v>
      </c>
      <c r="E35" s="70">
        <f t="shared" si="3"/>
        <v>46049</v>
      </c>
      <c r="F35" s="10" t="s">
        <v>23</v>
      </c>
      <c r="G35" s="12">
        <f>IF(OR(AND(F35="N",NOT(OR(C35="mandag",C35="tirsdag",C35="onsdag",C35="torsdag",C35="fredag"))),F35="F"),0,
        IF(OR(
            AND(Masterdata!$B$4&lt;&gt;DATE(1900,1,0), Masterdata!$B$4&lt;$E35),
            AND(Masterdata!$B$3&lt;&gt;DATE(1900,1,0), Masterdata!$B$3&gt;$E35)
        ),
        0, $X$7/(5-H35)))</f>
        <v>0.30833333333333335</v>
      </c>
      <c r="H35" s="86">
        <f>SUMPRODUCT(COUNTIFS($A$9:$A$38,$A36,$D$9:$D$38,"&lt;7",$F$9:$F$38,"F")+COUNTIFS(Februar!$A$9:$A$39,$A36,Februar!$D$9:$D$39,"&lt;7",Februar!$F$9:$F$39,"F"))</f>
        <v>0</v>
      </c>
      <c r="I35" s="11">
        <v>0</v>
      </c>
      <c r="J35" s="11">
        <v>0</v>
      </c>
      <c r="K35" s="11">
        <v>0</v>
      </c>
      <c r="L35" s="26" t="str">
        <f t="shared" si="12"/>
        <v>07:24</v>
      </c>
      <c r="M35" s="26" t="str">
        <f>IF(OR(F35="N",F35="F"),"0:00",
IF(
OR(
AND(Masterdata!$B$4&lt;&gt;DATE(1900,1,0),Masterdata!$B$4&lt;$E35),
AND(Masterdata!$B$3&lt;&gt;DATE(1900,1,0),Masterdata!$B$3&gt;$E35)
),"0:00",
IF(
$I35&gt;TIME(0,0,0),
IF(
NOT(OR($C35="mandag",$C35="tirsdag",$C35="onsdag",$C35="torsdag",$C35="fredag")),
TEXT($I35,"[tt]:mm"),
IF($I35-$G35&gt;=0,TEXT($I35-$G35,"[tt]:mm"),"-"&amp;TEXT(ABS($I35-$G35),"[tt]:mm"))
),
IF(
NOT(OR($C35="mandag",$C35="tirsdag",$C35="onsdag",$C35="torsdag",$C35="fredag")),
IF($K35-$J35&gt;=0,TEXT($K35-$J35,"[tt]:mm"),"-"&amp;TEXT(ABS($K35-$J35),"[tt]:mm")),
IF(
$K35-$J35-$G35&gt;=0,
TEXT($K35-$J35-$G35,"[tt]:mm"),
"-"&amp;TEXT(ABS($K35-$J35-$G35),"[tt]:mm")
)
)
)
))</f>
        <v>0:00</v>
      </c>
      <c r="N35" s="71" t="str">
        <f t="shared" si="13"/>
        <v>0</v>
      </c>
      <c r="O35" s="25" t="str">
        <f t="shared" si="5"/>
        <v>0:</v>
      </c>
      <c r="P35" s="52" t="str">
        <f t="shared" si="6"/>
        <v>0</v>
      </c>
      <c r="Q35" s="53">
        <f t="shared" si="10"/>
        <v>0</v>
      </c>
      <c r="R35" s="30">
        <f t="shared" si="14"/>
        <v>0</v>
      </c>
      <c r="S35" s="98"/>
      <c r="T35" s="98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</row>
    <row r="36" spans="1:45" x14ac:dyDescent="0.3">
      <c r="A36" s="7">
        <f t="shared" si="2"/>
        <v>5</v>
      </c>
      <c r="B36" s="8">
        <f t="shared" si="9"/>
        <v>46050</v>
      </c>
      <c r="C36" s="9" t="str" cm="1">
        <f t="array" ref="C36">_xlfn.XLOOKUP(E36,Masterdata!$B$31:$B$44,Masterdata!$A$31:$A$44,_xlfn.SWITCH(WEEKDAY($D36, 2), 1, "mandag", 2, "tirsdag", 3, "onsdag", 4, "torsdag", 5, "fredag", 6, "lørdag", 7, "søndag"),0)</f>
        <v>onsdag</v>
      </c>
      <c r="D36" s="29">
        <f t="shared" si="0"/>
        <v>4</v>
      </c>
      <c r="E36" s="70">
        <f t="shared" si="3"/>
        <v>46050</v>
      </c>
      <c r="F36" s="10" t="s">
        <v>23</v>
      </c>
      <c r="G36" s="12">
        <f>IF(OR(AND(F36="N",NOT(OR(C36="mandag",C36="tirsdag",C36="onsdag",C36="torsdag",C36="fredag"))),F36="F"),0,
        IF(OR(
            AND(Masterdata!$B$4&lt;&gt;DATE(1900,1,0), Masterdata!$B$4&lt;$E36),
            AND(Masterdata!$B$3&lt;&gt;DATE(1900,1,0), Masterdata!$B$3&gt;$E36)
        ),
        0, $X$7/(5-H36)))</f>
        <v>0.30833333333333335</v>
      </c>
      <c r="H36" s="86">
        <f>SUMPRODUCT(COUNTIFS($A$9:$A$38,$A37,$D$9:$D$38,"&lt;7",$F$9:$F$38,"F")+COUNTIFS(Februar!$A$9:$A$39,$A37,Februar!$D$9:$D$39,"&lt;7",Februar!$F$9:$F$39,"F"))</f>
        <v>0</v>
      </c>
      <c r="I36" s="11">
        <v>0</v>
      </c>
      <c r="J36" s="11">
        <v>0</v>
      </c>
      <c r="K36" s="11">
        <v>0</v>
      </c>
      <c r="L36" s="26" t="str">
        <f t="shared" si="12"/>
        <v>07:24</v>
      </c>
      <c r="M36" s="26" t="str">
        <f>IF(OR(F36="N",F36="F"),"0:00",
IF(
OR(
AND(Masterdata!$B$4&lt;&gt;DATE(1900,1,0),Masterdata!$B$4&lt;$E36),
AND(Masterdata!$B$3&lt;&gt;DATE(1900,1,0),Masterdata!$B$3&gt;$E36)
),"0:00",
IF(
$I36&gt;TIME(0,0,0),
IF(
NOT(OR($C36="mandag",$C36="tirsdag",$C36="onsdag",$C36="torsdag",$C36="fredag")),
TEXT($I36,"[tt]:mm"),
IF($I36-$G36&gt;=0,TEXT($I36-$G36,"[tt]:mm"),"-"&amp;TEXT(ABS($I36-$G36),"[tt]:mm"))
),
IF(
NOT(OR($C36="mandag",$C36="tirsdag",$C36="onsdag",$C36="torsdag",$C36="fredag")),
IF($K36-$J36&gt;=0,TEXT($K36-$J36,"[tt]:mm"),"-"&amp;TEXT(ABS($K36-$J36),"[tt]:mm")),
IF(
$K36-$J36-$G36&gt;=0,
TEXT($K36-$J36-$G36,"[tt]:mm"),
"-"&amp;TEXT(ABS($K36-$J36-$G36),"[tt]:mm")
)
)
)
))</f>
        <v>0:00</v>
      </c>
      <c r="N36" s="71" t="str">
        <f t="shared" si="13"/>
        <v>0</v>
      </c>
      <c r="O36" s="25" t="str">
        <f t="shared" si="5"/>
        <v>0:</v>
      </c>
      <c r="P36" s="52" t="str">
        <f t="shared" si="6"/>
        <v>0</v>
      </c>
      <c r="Q36" s="53">
        <f t="shared" si="10"/>
        <v>0</v>
      </c>
      <c r="R36" s="30">
        <f t="shared" si="14"/>
        <v>0</v>
      </c>
      <c r="S36" s="98"/>
      <c r="T36" s="98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</row>
    <row r="37" spans="1:45" x14ac:dyDescent="0.3">
      <c r="A37" s="7">
        <f t="shared" si="2"/>
        <v>5</v>
      </c>
      <c r="B37" s="8">
        <f t="shared" si="9"/>
        <v>46051</v>
      </c>
      <c r="C37" s="9" t="str" cm="1">
        <f t="array" ref="C37">_xlfn.XLOOKUP(E37,Masterdata!$B$31:$B$44,Masterdata!$A$31:$A$44,_xlfn.SWITCH(WEEKDAY($D37, 2), 1, "mandag", 2, "tirsdag", 3, "onsdag", 4, "torsdag", 5, "fredag", 6, "lørdag", 7, "søndag"),0)</f>
        <v>torsdag</v>
      </c>
      <c r="D37" s="29">
        <f t="shared" si="0"/>
        <v>5</v>
      </c>
      <c r="E37" s="70">
        <f t="shared" si="3"/>
        <v>46051</v>
      </c>
      <c r="F37" s="10" t="s">
        <v>23</v>
      </c>
      <c r="G37" s="12">
        <f>IF(OR(AND(F37="N",NOT(OR(C37="mandag",C37="tirsdag",C37="onsdag",C37="torsdag",C37="fredag"))),F37="F"),0,
        IF(OR(
            AND(Masterdata!$B$4&lt;&gt;DATE(1900,1,0), Masterdata!$B$4&lt;$E37),
            AND(Masterdata!$B$3&lt;&gt;DATE(1900,1,0), Masterdata!$B$3&gt;$E37)
        ),
        0, $X$7/(5-H37)))</f>
        <v>0.30833333333333335</v>
      </c>
      <c r="H37" s="86">
        <f>SUMPRODUCT(COUNTIFS($A$9:$A$38,$A38,$D$9:$D$38,"&lt;7",$F$9:$F$38,"F")+COUNTIFS(Februar!$A$9:$A$39,$A38,Februar!$D$9:$D$39,"&lt;7",Februar!$F$9:$F$39,"F"))</f>
        <v>0</v>
      </c>
      <c r="I37" s="11">
        <v>0</v>
      </c>
      <c r="J37" s="11">
        <v>0</v>
      </c>
      <c r="K37" s="11">
        <v>0</v>
      </c>
      <c r="L37" s="26" t="str">
        <f t="shared" si="12"/>
        <v>07:24</v>
      </c>
      <c r="M37" s="26" t="str">
        <f>IF(OR(F37="N",F37="F"),"0:00",
IF(
OR(
AND(Masterdata!$B$4&lt;&gt;DATE(1900,1,0),Masterdata!$B$4&lt;$E37),
AND(Masterdata!$B$3&lt;&gt;DATE(1900,1,0),Masterdata!$B$3&gt;$E37)
),"0:00",
IF(
$I37&gt;TIME(0,0,0),
IF(
NOT(OR($C37="mandag",$C37="tirsdag",$C37="onsdag",$C37="torsdag",$C37="fredag")),
TEXT($I37,"[tt]:mm"),
IF($I37-$G37&gt;=0,TEXT($I37-$G37,"[tt]:mm"),"-"&amp;TEXT(ABS($I37-$G37),"[tt]:mm"))
),
IF(
NOT(OR($C37="mandag",$C37="tirsdag",$C37="onsdag",$C37="torsdag",$C37="fredag")),
IF($K37-$J37&gt;=0,TEXT($K37-$J37,"[tt]:mm"),"-"&amp;TEXT(ABS($K37-$J37),"[tt]:mm")),
IF(
$K37-$J37-$G37&gt;=0,
TEXT($K37-$J37-$G37,"[tt]:mm"),
"-"&amp;TEXT(ABS($K37-$J37-$G37),"[tt]:mm")
)
)
)
))</f>
        <v>0:00</v>
      </c>
      <c r="N37" s="71" t="str">
        <f t="shared" ref="N37:N39" si="15">LEFT(M37,1)</f>
        <v>0</v>
      </c>
      <c r="O37" s="25" t="str">
        <f t="shared" si="5"/>
        <v>0:</v>
      </c>
      <c r="P37" s="52" t="str">
        <f t="shared" si="6"/>
        <v>0</v>
      </c>
      <c r="Q37" s="53">
        <f t="shared" ref="Q37:Q39" si="16">P37/60</f>
        <v>0</v>
      </c>
      <c r="R37" s="30">
        <f t="shared" ref="R37:R39" si="17">IF(N37="-",O37-Q37,O37+Q37)</f>
        <v>0</v>
      </c>
      <c r="S37" s="98"/>
      <c r="T37" s="98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</row>
    <row r="38" spans="1:45" x14ac:dyDescent="0.3">
      <c r="A38" s="7">
        <f t="shared" si="2"/>
        <v>5</v>
      </c>
      <c r="B38" s="8">
        <f t="shared" si="9"/>
        <v>46052</v>
      </c>
      <c r="C38" s="9" t="str" cm="1">
        <f t="array" ref="C38">_xlfn.XLOOKUP(E38,Masterdata!$B$31:$B$44,Masterdata!$A$31:$A$44,_xlfn.SWITCH(WEEKDAY($D38, 2), 1, "mandag", 2, "tirsdag", 3, "onsdag", 4, "torsdag", 5, "fredag", 6, "lørdag", 7, "søndag"),0)</f>
        <v>fredag</v>
      </c>
      <c r="D38" s="29">
        <f t="shared" si="0"/>
        <v>6</v>
      </c>
      <c r="E38" s="70">
        <f t="shared" si="3"/>
        <v>46052</v>
      </c>
      <c r="F38" s="10" t="s">
        <v>23</v>
      </c>
      <c r="G38" s="12">
        <f>IF(OR(AND(F38="N",NOT(OR(C38="mandag",C38="tirsdag",C38="onsdag",C38="torsdag",C38="fredag"))),F38="F"),0,
        IF(OR(
            AND(Masterdata!$B$4&lt;&gt;DATE(1900,1,0), Masterdata!$B$4&lt;$E38),
            AND(Masterdata!$B$3&lt;&gt;DATE(1900,1,0), Masterdata!$B$3&gt;$E38)
        ),
        0, $X$7/(5-H38)))</f>
        <v>0.30833333333333335</v>
      </c>
      <c r="H38" s="86">
        <f>SUMPRODUCT(COUNTIFS($A$9:$A$38,$A39,$D$9:$D$38,"&lt;7",$F$9:$F$38,"F")+COUNTIFS(Februar!$A$9:$A$39,$A39,Februar!$D$9:$D$39,"&lt;7",Februar!$F$9:$F$39,"F"))</f>
        <v>0</v>
      </c>
      <c r="I38" s="11">
        <v>0</v>
      </c>
      <c r="J38" s="11">
        <v>0</v>
      </c>
      <c r="K38" s="11">
        <v>0</v>
      </c>
      <c r="L38" s="26" t="str">
        <f t="shared" si="12"/>
        <v>07:24</v>
      </c>
      <c r="M38" s="26" t="str">
        <f>IF(OR(F38="N",F38="F"),"0:00",
IF(
OR(
AND(Masterdata!$B$4&lt;&gt;DATE(1900,1,0),Masterdata!$B$4&lt;$E38),
AND(Masterdata!$B$3&lt;&gt;DATE(1900,1,0),Masterdata!$B$3&gt;$E38)
),"0:00",
IF(
$I38&gt;TIME(0,0,0),
IF(
NOT(OR($C38="mandag",$C38="tirsdag",$C38="onsdag",$C38="torsdag",$C38="fredag")),
TEXT($I38,"[tt]:mm"),
IF($I38-$G38&gt;=0,TEXT($I38-$G38,"[tt]:mm"),"-"&amp;TEXT(ABS($I38-$G38),"[tt]:mm"))
),
IF(
NOT(OR($C38="mandag",$C38="tirsdag",$C38="onsdag",$C38="torsdag",$C38="fredag")),
IF($K38-$J38&gt;=0,TEXT($K38-$J38,"[tt]:mm"),"-"&amp;TEXT(ABS($K38-$J38),"[tt]:mm")),
IF(
$K38-$J38-$G38&gt;=0,
TEXT($K38-$J38-$G38,"[tt]:mm"),
"-"&amp;TEXT(ABS($K38-$J38-$G38),"[tt]:mm")
)
)
)
))</f>
        <v>0:00</v>
      </c>
      <c r="N38" s="71" t="str">
        <f t="shared" si="15"/>
        <v>0</v>
      </c>
      <c r="O38" s="25" t="str">
        <f t="shared" si="5"/>
        <v>0:</v>
      </c>
      <c r="P38" s="52" t="str">
        <f t="shared" si="6"/>
        <v>0</v>
      </c>
      <c r="Q38" s="53">
        <f t="shared" si="16"/>
        <v>0</v>
      </c>
      <c r="R38" s="30">
        <f t="shared" si="17"/>
        <v>0</v>
      </c>
      <c r="S38" s="98"/>
      <c r="T38" s="98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</row>
    <row r="39" spans="1:45" x14ac:dyDescent="0.3">
      <c r="A39" s="7">
        <f t="shared" si="2"/>
        <v>5</v>
      </c>
      <c r="B39" s="8">
        <f t="shared" si="9"/>
        <v>46053</v>
      </c>
      <c r="C39" s="9" t="str" cm="1">
        <f t="array" ref="C39">_xlfn.XLOOKUP(E39,Masterdata!$B$31:$B$44,Masterdata!$A$31:$A$44,_xlfn.SWITCH(WEEKDAY($D39, 2), 1, "mandag", 2, "tirsdag", 3, "onsdag", 4, "torsdag", 5, "fredag", 6, "lørdag", 7, "søndag"),0)</f>
        <v>lørdag</v>
      </c>
      <c r="D39" s="29">
        <f t="shared" si="0"/>
        <v>7</v>
      </c>
      <c r="E39" s="70">
        <f t="shared" si="3"/>
        <v>46053</v>
      </c>
      <c r="F39" s="10" t="s">
        <v>23</v>
      </c>
      <c r="G39" s="12">
        <f>IF(OR(AND(F39="N",NOT(OR(C39="mandag",C39="tirsdag",C39="onsdag",C39="torsdag",C39="fredag"))),F39="F"),0,
        IF(OR(
            AND(Masterdata!$B$4&lt;&gt;DATE(1900,1,0), Masterdata!$B$4&lt;$E39),
            AND(Masterdata!$B$3&lt;&gt;DATE(1900,1,0), Masterdata!$B$3&gt;$E39)
        ),
        0, $X$7/(5-H39)))</f>
        <v>0</v>
      </c>
      <c r="H39" s="86">
        <f>SUMPRODUCT(COUNTIFS($A$9:$A$38,$A40,$D$9:$D$38,"&lt;7",$F$9:$F$38,"F")+COUNTIFS(Februar!$A$9:$A$39,$A40,Februar!$D$9:$D$39,"&lt;7",Februar!$F$9:$F$39,"F"))</f>
        <v>0</v>
      </c>
      <c r="I39" s="11">
        <v>0</v>
      </c>
      <c r="J39" s="11">
        <v>0</v>
      </c>
      <c r="K39" s="11">
        <v>0</v>
      </c>
      <c r="L39" s="26" t="str">
        <f t="shared" si="12"/>
        <v>00:00</v>
      </c>
      <c r="M39" s="26" t="str">
        <f>IF(OR(F39="N",F39="F"),"0:00",
IF(
OR(
AND(Masterdata!$B$4&lt;&gt;DATE(1900,1,0),Masterdata!$B$4&lt;$E39),
AND(Masterdata!$B$3&lt;&gt;DATE(1900,1,0),Masterdata!$B$3&gt;$E39)
),"0:00",
IF(
$I39&gt;TIME(0,0,0),
IF(
NOT(OR($C39="mandag",$C39="tirsdag",$C39="onsdag",$C39="torsdag",$C39="fredag")),
TEXT($I39,"[tt]:mm"),
IF($I39-$G39&gt;=0,TEXT($I39-$G39,"[tt]:mm"),"-"&amp;TEXT(ABS($I39-$G39),"[tt]:mm"))
),
IF(
NOT(OR($C39="mandag",$C39="tirsdag",$C39="onsdag",$C39="torsdag",$C39="fredag")),
IF($K39-$J39&gt;=0,TEXT($K39-$J39,"[tt]:mm"),"-"&amp;TEXT(ABS($K39-$J39),"[tt]:mm")),
IF(
$K39-$J39-$G39&gt;=0,
TEXT($K39-$J39-$G39,"[tt]:mm"),
"-"&amp;TEXT(ABS($K39-$J39-$G39),"[tt]:mm")
)
)
)
))</f>
        <v>0:00</v>
      </c>
      <c r="N39" s="71" t="str">
        <f t="shared" si="15"/>
        <v>0</v>
      </c>
      <c r="O39" s="25" t="str">
        <f t="shared" si="5"/>
        <v>0:</v>
      </c>
      <c r="P39" s="52" t="str">
        <f t="shared" si="6"/>
        <v>0</v>
      </c>
      <c r="Q39" s="53">
        <f t="shared" si="16"/>
        <v>0</v>
      </c>
      <c r="R39" s="30">
        <f t="shared" si="17"/>
        <v>0</v>
      </c>
      <c r="S39" s="98"/>
      <c r="T39" s="98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</row>
    <row r="40" spans="1:45" x14ac:dyDescent="0.3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73"/>
      <c r="N40" s="29"/>
      <c r="O40" s="29"/>
      <c r="P40" s="29"/>
      <c r="Q40" s="29"/>
      <c r="R40" s="30">
        <f>SUM(R9:R39)</f>
        <v>0</v>
      </c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</row>
    <row r="41" spans="1:45" x14ac:dyDescent="0.3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</row>
    <row r="42" spans="1:45" x14ac:dyDescent="0.3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</row>
    <row r="43" spans="1:45" x14ac:dyDescent="0.3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</row>
    <row r="44" spans="1:45" x14ac:dyDescent="0.3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</row>
    <row r="45" spans="1:45" x14ac:dyDescent="0.3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</row>
    <row r="46" spans="1:45" x14ac:dyDescent="0.3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</row>
    <row r="47" spans="1:45" x14ac:dyDescent="0.3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</row>
    <row r="48" spans="1:45" x14ac:dyDescent="0.3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</row>
    <row r="49" spans="1:45" x14ac:dyDescent="0.3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</row>
    <row r="50" spans="1:45" x14ac:dyDescent="0.3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</row>
    <row r="51" spans="1:45" x14ac:dyDescent="0.3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</row>
    <row r="52" spans="1:45" x14ac:dyDescent="0.3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</row>
    <row r="53" spans="1:45" x14ac:dyDescent="0.3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</row>
    <row r="54" spans="1:45" x14ac:dyDescent="0.3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</row>
    <row r="55" spans="1:45" x14ac:dyDescent="0.3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</row>
    <row r="56" spans="1:45" x14ac:dyDescent="0.3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</row>
    <row r="57" spans="1:45" x14ac:dyDescent="0.3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</row>
    <row r="58" spans="1:45" x14ac:dyDescent="0.3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</row>
    <row r="59" spans="1:45" x14ac:dyDescent="0.3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</row>
    <row r="60" spans="1:45" x14ac:dyDescent="0.3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</row>
    <row r="61" spans="1:45" x14ac:dyDescent="0.3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</row>
    <row r="62" spans="1:45" x14ac:dyDescent="0.3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</row>
    <row r="63" spans="1:45" x14ac:dyDescent="0.3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</row>
    <row r="64" spans="1:45" x14ac:dyDescent="0.3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</row>
    <row r="65" spans="1:45" x14ac:dyDescent="0.3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</row>
    <row r="66" spans="1:45" x14ac:dyDescent="0.3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</row>
    <row r="67" spans="1:45" x14ac:dyDescent="0.3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</row>
    <row r="68" spans="1:45" x14ac:dyDescent="0.3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</row>
    <row r="69" spans="1:45" x14ac:dyDescent="0.3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</row>
    <row r="70" spans="1:45" x14ac:dyDescent="0.3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</row>
    <row r="71" spans="1:45" x14ac:dyDescent="0.3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</row>
    <row r="72" spans="1:45" x14ac:dyDescent="0.3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</row>
    <row r="73" spans="1:45" x14ac:dyDescent="0.3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</row>
    <row r="74" spans="1:45" x14ac:dyDescent="0.3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</row>
    <row r="75" spans="1:45" x14ac:dyDescent="0.3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</row>
    <row r="76" spans="1:45" x14ac:dyDescent="0.3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</row>
    <row r="77" spans="1:45" x14ac:dyDescent="0.3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</row>
    <row r="78" spans="1:45" x14ac:dyDescent="0.3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</row>
  </sheetData>
  <sheetProtection algorithmName="SHA-512" hashValue="uJjMGP3zBOI9CsUh2h1KfA+dH4isHoHGPPax4Qtlf52GIX4Y8O21k5UC46A9bf77oe8PsW0ZWzD+Y97Z8BdJIw==" saltValue="/0N53kNfuAriIMW8tppXLA==" spinCount="100000" sheet="1" objects="1" scenarios="1"/>
  <mergeCells count="37">
    <mergeCell ref="S14:T14"/>
    <mergeCell ref="S2:T2"/>
    <mergeCell ref="S3:T3"/>
    <mergeCell ref="S4:T4"/>
    <mergeCell ref="S5:T5"/>
    <mergeCell ref="S6:T6"/>
    <mergeCell ref="S8:T8"/>
    <mergeCell ref="S9:T9"/>
    <mergeCell ref="S10:T10"/>
    <mergeCell ref="S11:T11"/>
    <mergeCell ref="S12:T12"/>
    <mergeCell ref="S13:T13"/>
    <mergeCell ref="S26:T26"/>
    <mergeCell ref="S15:T15"/>
    <mergeCell ref="S16:T16"/>
    <mergeCell ref="S17:T17"/>
    <mergeCell ref="S18:T18"/>
    <mergeCell ref="S19:T19"/>
    <mergeCell ref="S20:T20"/>
    <mergeCell ref="S21:T21"/>
    <mergeCell ref="S22:T22"/>
    <mergeCell ref="S23:T23"/>
    <mergeCell ref="S24:T24"/>
    <mergeCell ref="S25:T25"/>
    <mergeCell ref="S39:T39"/>
    <mergeCell ref="S37:T37"/>
    <mergeCell ref="S27:T27"/>
    <mergeCell ref="S28:T28"/>
    <mergeCell ref="S29:T29"/>
    <mergeCell ref="S30:T30"/>
    <mergeCell ref="S31:T31"/>
    <mergeCell ref="S32:T32"/>
    <mergeCell ref="S33:T33"/>
    <mergeCell ref="S34:T34"/>
    <mergeCell ref="S35:T35"/>
    <mergeCell ref="S36:T36"/>
    <mergeCell ref="S38:T38"/>
  </mergeCells>
  <conditionalFormatting sqref="A9:H39">
    <cfRule type="expression" dxfId="62" priority="1">
      <formula>NOT(OR($C9="mandag", $C9="tirsdag",$C9="onsdag",$C9="torsdag",$C9="fredag"))</formula>
    </cfRule>
    <cfRule type="expression" dxfId="61" priority="3">
      <formula>$F9="F"</formula>
    </cfRule>
  </conditionalFormatting>
  <conditionalFormatting sqref="G9:H39">
    <cfRule type="expression" dxfId="60" priority="5">
      <formula>AND($F9="N", (OR($C9="mandag", $C9="tirsdag",$C9="onsdag",$C9="torsdag",$C9="fredag")))</formula>
    </cfRule>
  </conditionalFormatting>
  <conditionalFormatting sqref="I9:K39">
    <cfRule type="expression" dxfId="59" priority="2">
      <formula>OR($F9="N",$F9="F")</formula>
    </cfRule>
    <cfRule type="expression" dxfId="58" priority="4">
      <formula>$F9="R"</formula>
    </cfRule>
  </conditionalFormatting>
  <dataValidations count="2">
    <dataValidation type="list" allowBlank="1" showInputMessage="1" showErrorMessage="1" sqref="F9:F39" xr:uid="{E0118F57-D7EB-4DCB-B639-EA9192A09737}">
      <formula1>IF($B$2,$M$3:$M$5,$M$4:$M$5)</formula1>
    </dataValidation>
    <dataValidation type="time" allowBlank="1" showInputMessage="1" showErrorMessage="1" sqref="I9:K39" xr:uid="{0C4ED642-1BA0-4CCC-B1DB-BF49406BB797}">
      <formula1>0</formula1>
      <formula2>0.999305555555556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08517-46B2-43A5-8C6D-85D662170B52}">
  <sheetPr codeName="Ark3"/>
  <dimension ref="A1:Z38"/>
  <sheetViews>
    <sheetView zoomScale="70" zoomScaleNormal="70" workbookViewId="0"/>
  </sheetViews>
  <sheetFormatPr defaultColWidth="16.6640625" defaultRowHeight="14.4" outlineLevelCol="1" x14ac:dyDescent="0.3"/>
  <cols>
    <col min="1" max="1" width="15.5546875" customWidth="1"/>
    <col min="2" max="2" width="14.109375" customWidth="1"/>
    <col min="3" max="3" width="16.6640625" customWidth="1"/>
    <col min="4" max="4" width="15" hidden="1" customWidth="1"/>
    <col min="5" max="5" width="12.88671875" hidden="1" customWidth="1"/>
    <col min="6" max="6" width="13.5546875" bestFit="1" customWidth="1"/>
    <col min="7" max="7" width="16.33203125" bestFit="1" customWidth="1"/>
    <col min="8" max="8" width="23.33203125" hidden="1" customWidth="1"/>
    <col min="9" max="9" width="17.88671875" customWidth="1"/>
    <col min="10" max="11" width="11.33203125" customWidth="1"/>
    <col min="12" max="12" width="18.6640625" customWidth="1"/>
    <col min="13" max="13" width="11.5546875" customWidth="1"/>
    <col min="14" max="15" width="11.109375" hidden="1" customWidth="1" outlineLevel="1"/>
    <col min="16" max="16" width="7.6640625" hidden="1" customWidth="1" outlineLevel="1"/>
    <col min="17" max="18" width="7.5546875" hidden="1" customWidth="1" outlineLevel="1"/>
    <col min="19" max="19" width="53.44140625" customWidth="1" collapsed="1"/>
    <col min="20" max="20" width="29.44140625" customWidth="1"/>
    <col min="21" max="21" width="9.109375" hidden="1" customWidth="1" outlineLevel="1"/>
    <col min="22" max="22" width="24.6640625" hidden="1" customWidth="1" outlineLevel="1"/>
    <col min="23" max="23" width="43" hidden="1" customWidth="1" outlineLevel="1"/>
    <col min="24" max="24" width="7.88671875" hidden="1" customWidth="1" outlineLevel="1"/>
    <col min="25" max="25" width="19.44140625" customWidth="1" outlineLevel="1"/>
  </cols>
  <sheetData>
    <row r="1" spans="1:26" ht="16.5" customHeight="1" thickBot="1" x14ac:dyDescent="0.35">
      <c r="A1" s="14" t="s">
        <v>102</v>
      </c>
      <c r="B1" s="15">
        <v>37</v>
      </c>
      <c r="C1" s="29"/>
      <c r="M1" s="45"/>
      <c r="S1" s="110"/>
      <c r="T1" s="110"/>
      <c r="U1" s="90"/>
      <c r="V1" s="45"/>
      <c r="W1" s="45"/>
    </row>
    <row r="2" spans="1:26" ht="36" customHeight="1" x14ac:dyDescent="0.3">
      <c r="A2" s="39" t="s">
        <v>130</v>
      </c>
      <c r="B2" s="91" t="b">
        <v>0</v>
      </c>
      <c r="M2" s="48" t="s">
        <v>21</v>
      </c>
      <c r="N2" s="67"/>
      <c r="O2" s="67"/>
      <c r="P2" s="67"/>
      <c r="Q2" s="67"/>
      <c r="R2" s="67"/>
      <c r="S2" s="99" t="s">
        <v>22</v>
      </c>
      <c r="T2" s="100"/>
      <c r="U2" s="45"/>
      <c r="V2" s="45"/>
      <c r="W2" s="45"/>
    </row>
    <row r="3" spans="1:26" ht="34.5" customHeight="1" x14ac:dyDescent="0.3">
      <c r="A3" s="38" t="s">
        <v>59</v>
      </c>
      <c r="B3" s="34" t="str">
        <f ca="1">Masterdata!$D$27</f>
        <v>00:00</v>
      </c>
      <c r="M3" s="89" t="s">
        <v>49</v>
      </c>
      <c r="N3" s="29"/>
      <c r="O3" s="29"/>
      <c r="P3" s="29"/>
      <c r="Q3" s="29"/>
      <c r="R3" s="29"/>
      <c r="S3" s="101" t="s">
        <v>131</v>
      </c>
      <c r="T3" s="102"/>
      <c r="U3" s="45"/>
      <c r="V3" s="45"/>
      <c r="W3" s="45"/>
    </row>
    <row r="4" spans="1:26" ht="31.5" customHeight="1" x14ac:dyDescent="0.3">
      <c r="A4" s="39" t="s">
        <v>63</v>
      </c>
      <c r="B4" s="34" t="str">
        <f>IF(R38&lt;0,"-"&amp;TEXT(ABS(R38/24),"[tt]:mm"),TEXT(R38/24,"[tt]:mm"))</f>
        <v>00:00</v>
      </c>
      <c r="M4" s="35" t="s">
        <v>23</v>
      </c>
      <c r="N4" s="29"/>
      <c r="O4" s="29"/>
      <c r="P4" s="29"/>
      <c r="Q4" s="29"/>
      <c r="R4" s="29"/>
      <c r="S4" s="101" t="s">
        <v>24</v>
      </c>
      <c r="T4" s="102"/>
      <c r="U4" s="46"/>
      <c r="V4" s="46"/>
      <c r="W4" s="46"/>
    </row>
    <row r="5" spans="1:26" ht="59.1" customHeight="1" x14ac:dyDescent="0.3">
      <c r="A5" s="17" t="s">
        <v>2</v>
      </c>
      <c r="B5" s="40">
        <f>Masterdata!$B$5</f>
        <v>2026</v>
      </c>
      <c r="M5" s="35" t="s">
        <v>25</v>
      </c>
      <c r="N5" s="29"/>
      <c r="O5" s="29"/>
      <c r="P5" s="29"/>
      <c r="Q5" s="29"/>
      <c r="R5" s="29"/>
      <c r="S5" s="103" t="s">
        <v>120</v>
      </c>
      <c r="T5" s="104"/>
      <c r="U5" s="47"/>
      <c r="V5" s="47"/>
      <c r="W5" s="47"/>
    </row>
    <row r="6" spans="1:26" ht="15" thickBot="1" x14ac:dyDescent="0.35">
      <c r="A6" s="13" t="s">
        <v>20</v>
      </c>
      <c r="B6" s="18">
        <f>B9</f>
        <v>46054</v>
      </c>
      <c r="M6" s="36" t="s">
        <v>26</v>
      </c>
      <c r="N6" s="69"/>
      <c r="O6" s="69"/>
      <c r="P6" s="69"/>
      <c r="Q6" s="69"/>
      <c r="R6" s="69"/>
      <c r="S6" s="105" t="s">
        <v>27</v>
      </c>
      <c r="T6" s="106"/>
      <c r="U6" s="29"/>
      <c r="V6" s="29"/>
      <c r="W6" s="29"/>
    </row>
    <row r="7" spans="1:26" ht="15" thickBot="1" x14ac:dyDescent="0.35">
      <c r="X7">
        <f>$B$1/24</f>
        <v>1.5416666666666667</v>
      </c>
    </row>
    <row r="8" spans="1:26" ht="21.75" customHeight="1" thickBot="1" x14ac:dyDescent="0.35">
      <c r="A8" s="4" t="s">
        <v>28</v>
      </c>
      <c r="B8" s="5" t="s">
        <v>29</v>
      </c>
      <c r="C8" s="5" t="s">
        <v>30</v>
      </c>
      <c r="D8" s="5" t="s">
        <v>31</v>
      </c>
      <c r="E8" s="5" t="s">
        <v>32</v>
      </c>
      <c r="F8" s="5" t="s">
        <v>21</v>
      </c>
      <c r="G8" s="5" t="s">
        <v>102</v>
      </c>
      <c r="H8" s="5" t="s">
        <v>129</v>
      </c>
      <c r="I8" s="5" t="s">
        <v>33</v>
      </c>
      <c r="J8" s="6" t="s">
        <v>34</v>
      </c>
      <c r="K8" s="6" t="s">
        <v>35</v>
      </c>
      <c r="L8" s="6" t="s">
        <v>103</v>
      </c>
      <c r="M8" s="5" t="s">
        <v>36</v>
      </c>
      <c r="N8" s="22" t="s">
        <v>37</v>
      </c>
      <c r="O8" s="23" t="s">
        <v>38</v>
      </c>
      <c r="P8" s="23" t="s">
        <v>39</v>
      </c>
      <c r="Q8" s="23"/>
      <c r="S8" s="107" t="s">
        <v>40</v>
      </c>
      <c r="T8" s="108"/>
      <c r="W8" t="s">
        <v>41</v>
      </c>
      <c r="X8">
        <v>5</v>
      </c>
    </row>
    <row r="9" spans="1:26" x14ac:dyDescent="0.3">
      <c r="A9" s="7">
        <f>WEEKNUM($B9,21)</f>
        <v>5</v>
      </c>
      <c r="B9" s="8">
        <f>DATE(Masterdata!$B$5,2,1)</f>
        <v>46054</v>
      </c>
      <c r="C9" s="9" t="str" cm="1">
        <f t="array" ref="C9">_xlfn.XLOOKUP(E9,Masterdata!$B$31:$B$44,Masterdata!$A$31:$A$44,_xlfn.SWITCH(WEEKDAY($D9, 2), 1, "mandag", 2, "tirsdag", 3, "onsdag", 4, "torsdag", 5, "fredag", 6, "lørdag", 7, "søndag"),0)</f>
        <v>søndag</v>
      </c>
      <c r="D9">
        <f t="shared" ref="D9:D37" si="0">WEEKDAY($B9, 2)+1</f>
        <v>8</v>
      </c>
      <c r="E9" s="19">
        <f>$B9</f>
        <v>46054</v>
      </c>
      <c r="F9" s="10" t="s">
        <v>23</v>
      </c>
      <c r="G9" s="12">
        <f>IF(OR(AND(F9="N",NOT(OR(C9="mandag",C9="tirsdag",C9="onsdag",C9="torsdag",C9="fredag"))),F9="F"),0,
        IF(OR(
            AND(Masterdata!$B$4&lt;&gt;DATE(1900,1,0), Masterdata!$B$4&lt;$E9),
            AND(Masterdata!$B$3&lt;&gt;DATE(1900,1,0), Masterdata!$B$3&gt;$E9)
        ),
        0, $X$7/(5-H9)))</f>
        <v>0</v>
      </c>
      <c r="H9" s="86">
        <f>SUMPRODUCT(COUNTIFS(Januar!$A$9:$A$39,$A9,Januar!$D$9:$D$39,"&lt;7",Januar!$F$9:$F$39,"F")+COUNTIFS($A$9:$A$38,$A9,$D$9:$D$38,"&lt;7",$F$9:$F$38,"F")+COUNTIFS(Marts!$A$9:$A$39,$A9,Marts!$D$9:$D$39,"&lt;7",Marts!$F$9:$F$39,"F"))</f>
        <v>0</v>
      </c>
      <c r="I9" s="11">
        <v>0</v>
      </c>
      <c r="J9" s="11">
        <v>0</v>
      </c>
      <c r="K9" s="11">
        <v>0</v>
      </c>
      <c r="L9" s="26" t="str">
        <f t="shared" ref="L9:L37" si="1">IF($F9="F","00:00",
IF($F9="N",TEXT($G9,"[tt]:mm"),
IF($I9&lt;&gt;0,TEXT($I9,"[tt]:mm"),
IF($K9-$J9&gt;=0,
TEXT($K9-$J9,"[tt]:mm"),
"-"&amp;TEXT(ABS($K9-$J9),"[tt]:mm")))))</f>
        <v>00:00</v>
      </c>
      <c r="M9" s="26" t="str">
        <f>IF(OR(F9="N",F9="F"),"0:00",
IF(
OR(
AND(Masterdata!$B$4&lt;&gt;DATE(1900,1,0),Masterdata!$B$4&lt;$E9),
AND(Masterdata!$B$3&lt;&gt;DATE(1900,1,0),Masterdata!$B$3&gt;$E9)
),"0:00",
IF(
$I9&gt;TIME(0,0,0),
IF(
NOT(OR($C9="mandag",$C9="tirsdag",$C9="onsdag",$C9="torsdag",$C9="fredag")),
TEXT($I9,"[tt]:mm"),
IF($I9-$G9&gt;=0,TEXT($I9-$G9,"[tt]:mm"),"-"&amp;TEXT(ABS($I9-$G9),"[tt]:mm"))
),
IF(
NOT(OR($C9="mandag",$C9="tirsdag",$C9="onsdag",$C9="torsdag",$C9="fredag")),
IF($K9-$J9&gt;=0,TEXT($K9-$J9,"[tt]:mm"),"-"&amp;TEXT(ABS($K9-$J9),"[tt]:mm")),
IF(
$K9-$J9-$G9&gt;=0,
TEXT($K9-$J9-$G9,"[tt]:mm"),
"-"&amp;TEXT(ABS($K9-$J9-$G9),"[tt]:mm")
)
)
)
))</f>
        <v>0:00</v>
      </c>
      <c r="N9" s="21" t="str">
        <f>LEFT(M9,1)</f>
        <v>0</v>
      </c>
      <c r="O9" s="25" t="str">
        <f>IF($N9="-",LEFT($M9,3),LEFT($M9,2))</f>
        <v>0:</v>
      </c>
      <c r="P9" s="20" t="str">
        <f>IF($N9="-",MID($M9,5,2),MID($M9,4,2))</f>
        <v>0</v>
      </c>
      <c r="Q9" s="24">
        <f>P9/60</f>
        <v>0</v>
      </c>
      <c r="R9" s="2">
        <f>IF(N9="-",O9-Q9,O9+Q9)</f>
        <v>0</v>
      </c>
      <c r="S9" s="109"/>
      <c r="T9" s="109"/>
      <c r="W9" t="s">
        <v>42</v>
      </c>
      <c r="X9" s="1">
        <f>B1/X8</f>
        <v>7.4</v>
      </c>
      <c r="Z9" s="3"/>
    </row>
    <row r="10" spans="1:26" x14ac:dyDescent="0.3">
      <c r="A10" s="7">
        <f t="shared" ref="A10:A37" si="2">WEEKNUM($B10,21)</f>
        <v>6</v>
      </c>
      <c r="B10" s="8">
        <f>B9+1</f>
        <v>46055</v>
      </c>
      <c r="C10" s="9" t="str" cm="1">
        <f t="array" ref="C10">_xlfn.XLOOKUP(E10,Masterdata!$B$31:$B$44,Masterdata!$A$31:$A$44,_xlfn.SWITCH(WEEKDAY($D10, 2), 1, "mandag", 2, "tirsdag", 3, "onsdag", 4, "torsdag", 5, "fredag", 6, "lørdag", 7, "søndag"),0)</f>
        <v>mandag</v>
      </c>
      <c r="D10">
        <f t="shared" si="0"/>
        <v>2</v>
      </c>
      <c r="E10" s="19">
        <f t="shared" ref="E10:E37" si="3">$B10</f>
        <v>46055</v>
      </c>
      <c r="F10" s="10" t="s">
        <v>23</v>
      </c>
      <c r="G10" s="12">
        <f>IF(OR(AND(F10="N",NOT(OR(C10="mandag",C10="tirsdag",C10="onsdag",C10="torsdag",C10="fredag"))),F10="F"),0,
        IF(OR(
            AND(Masterdata!$B$4&lt;&gt;DATE(1900,1,0), Masterdata!$B$4&lt;$E10),
            AND(Masterdata!$B$3&lt;&gt;DATE(1900,1,0), Masterdata!$B$3&gt;$E10)
        ),
        0, $X$7/(5-H10)))</f>
        <v>0.30833333333333335</v>
      </c>
      <c r="H10" s="86">
        <f>SUMPRODUCT(COUNTIFS(Januar!$A$9:$A$39,$A10,Januar!$D$9:$D$39,"&lt;7",Januar!$F$9:$F$39,"F")+COUNTIFS($A$9:$A$38,$A10,$D$9:$D$38,"&lt;7",$F$9:$F$38,"F")+COUNTIFS(Marts!$A$9:$A$39,$A10,Marts!$D$9:$D$39,"&lt;7",Marts!$F$9:$F$39,"F"))</f>
        <v>0</v>
      </c>
      <c r="I10" s="11">
        <v>0</v>
      </c>
      <c r="J10" s="11">
        <v>0</v>
      </c>
      <c r="K10" s="11">
        <v>0</v>
      </c>
      <c r="L10" s="26" t="str">
        <f t="shared" si="1"/>
        <v>07:24</v>
      </c>
      <c r="M10" s="26" t="str">
        <f>IF(OR(F10="N",F10="F"),"0:00",
IF(
OR(
AND(Masterdata!$B$4&lt;&gt;DATE(1900,1,0),Masterdata!$B$4&lt;$E10),
AND(Masterdata!$B$3&lt;&gt;DATE(1900,1,0),Masterdata!$B$3&gt;$E10)
),"0:00",
IF(
$I10&gt;TIME(0,0,0),
IF(
NOT(OR($C10="mandag",$C10="tirsdag",$C10="onsdag",$C10="torsdag",$C10="fredag")),
TEXT($I10,"[tt]:mm"),
IF($I10-$G10&gt;=0,TEXT($I10-$G10,"[tt]:mm"),"-"&amp;TEXT(ABS($I10-$G10),"[tt]:mm"))
),
IF(
NOT(OR($C10="mandag",$C10="tirsdag",$C10="onsdag",$C10="torsdag",$C10="fredag")),
IF($K10-$J10&gt;=0,TEXT($K10-$J10,"[tt]:mm"),"-"&amp;TEXT(ABS($K10-$J10),"[tt]:mm")),
IF(
$K10-$J10-$G10&gt;=0,
TEXT($K10-$J10-$G10,"[tt]:mm"),
"-"&amp;TEXT(ABS($K10-$J10-$G10),"[tt]:mm")
)
)
)
))</f>
        <v>0:00</v>
      </c>
      <c r="N10" s="21" t="str">
        <f t="shared" ref="N10:N20" si="4">LEFT(M10,1)</f>
        <v>0</v>
      </c>
      <c r="O10" s="25" t="str">
        <f t="shared" ref="O10:O37" si="5">IF($N10="-",LEFT($M10,3),LEFT($M10,2))</f>
        <v>0:</v>
      </c>
      <c r="P10" s="20" t="str">
        <f t="shared" ref="P10:P37" si="6">IF($N10="-",MID($M10,5,2),MID($M10,4,2))</f>
        <v>0</v>
      </c>
      <c r="Q10" s="24">
        <f t="shared" ref="Q10:Q14" si="7">P10/60</f>
        <v>0</v>
      </c>
      <c r="R10" s="2">
        <f t="shared" ref="R10:R14" si="8">IF(N10="-",O10-Q10,O10+Q10)</f>
        <v>0</v>
      </c>
      <c r="S10" s="98"/>
      <c r="T10" s="111"/>
      <c r="W10" t="s">
        <v>43</v>
      </c>
      <c r="X10" s="3">
        <f>X9/24</f>
        <v>0.30833333333333335</v>
      </c>
    </row>
    <row r="11" spans="1:26" x14ac:dyDescent="0.3">
      <c r="A11" s="7">
        <f t="shared" si="2"/>
        <v>6</v>
      </c>
      <c r="B11" s="8">
        <f t="shared" ref="B11:B37" si="9">B10+1</f>
        <v>46056</v>
      </c>
      <c r="C11" s="9" t="str" cm="1">
        <f t="array" ref="C11">_xlfn.XLOOKUP(E11,Masterdata!$B$31:$B$44,Masterdata!$A$31:$A$44,_xlfn.SWITCH(WEEKDAY($D11, 2), 1, "mandag", 2, "tirsdag", 3, "onsdag", 4, "torsdag", 5, "fredag", 6, "lørdag", 7, "søndag"),0)</f>
        <v>tirsdag</v>
      </c>
      <c r="D11">
        <f t="shared" si="0"/>
        <v>3</v>
      </c>
      <c r="E11" s="19">
        <f t="shared" si="3"/>
        <v>46056</v>
      </c>
      <c r="F11" s="10" t="s">
        <v>23</v>
      </c>
      <c r="G11" s="12">
        <f>IF(OR(AND(F11="N",NOT(OR(C11="mandag",C11="tirsdag",C11="onsdag",C11="torsdag",C11="fredag"))),F11="F"),0,
        IF(OR(
            AND(Masterdata!$B$4&lt;&gt;DATE(1900,1,0), Masterdata!$B$4&lt;$E11),
            AND(Masterdata!$B$3&lt;&gt;DATE(1900,1,0), Masterdata!$B$3&gt;$E11)
        ),
        0, $X$7/(5-H11)))</f>
        <v>0.30833333333333335</v>
      </c>
      <c r="H11" s="86">
        <f>SUMPRODUCT(COUNTIFS(Januar!$A$9:$A$39,$A11,Januar!$D$9:$D$39,"&lt;7",Januar!$F$9:$F$39,"F")+COUNTIFS($A$9:$A$38,$A11,$D$9:$D$38,"&lt;7",$F$9:$F$38,"F")+COUNTIFS(Marts!$A$9:$A$39,$A11,Marts!$D$9:$D$39,"&lt;7",Marts!$F$9:$F$39,"F"))</f>
        <v>0</v>
      </c>
      <c r="I11" s="11">
        <v>0</v>
      </c>
      <c r="J11" s="11">
        <v>0</v>
      </c>
      <c r="K11" s="11">
        <v>0</v>
      </c>
      <c r="L11" s="26" t="str">
        <f t="shared" si="1"/>
        <v>07:24</v>
      </c>
      <c r="M11" s="26" t="str">
        <f>IF(OR(F11="N",F11="F"),"0:00",
IF(
OR(
AND(Masterdata!$B$4&lt;&gt;DATE(1900,1,0),Masterdata!$B$4&lt;$E11),
AND(Masterdata!$B$3&lt;&gt;DATE(1900,1,0),Masterdata!$B$3&gt;$E11)
),"0:00",
IF(
$I11&gt;TIME(0,0,0),
IF(
NOT(OR($C11="mandag",$C11="tirsdag",$C11="onsdag",$C11="torsdag",$C11="fredag")),
TEXT($I11,"[tt]:mm"),
IF($I11-$G11&gt;=0,TEXT($I11-$G11,"[tt]:mm"),"-"&amp;TEXT(ABS($I11-$G11),"[tt]:mm"))
),
IF(
NOT(OR($C11="mandag",$C11="tirsdag",$C11="onsdag",$C11="torsdag",$C11="fredag")),
IF($K11-$J11&gt;=0,TEXT($K11-$J11,"[tt]:mm"),"-"&amp;TEXT(ABS($K11-$J11),"[tt]:mm")),
IF(
$K11-$J11-$G11&gt;=0,
TEXT($K11-$J11-$G11,"[tt]:mm"),
"-"&amp;TEXT(ABS($K11-$J11-$G11),"[tt]:mm")
)
)
)
))</f>
        <v>0:00</v>
      </c>
      <c r="N11" s="21" t="str">
        <f t="shared" si="4"/>
        <v>0</v>
      </c>
      <c r="O11" s="25" t="str">
        <f t="shared" si="5"/>
        <v>0:</v>
      </c>
      <c r="P11" s="20" t="str">
        <f t="shared" si="6"/>
        <v>0</v>
      </c>
      <c r="Q11" s="24">
        <f t="shared" si="7"/>
        <v>0</v>
      </c>
      <c r="R11" s="2">
        <f t="shared" si="8"/>
        <v>0</v>
      </c>
      <c r="S11" s="112"/>
      <c r="T11" s="111"/>
      <c r="U11" t="s">
        <v>23</v>
      </c>
      <c r="V11" t="s">
        <v>44</v>
      </c>
      <c r="W11" t="s">
        <v>45</v>
      </c>
      <c r="X11" s="2">
        <f>(B1/37)*160.33</f>
        <v>160.33000000000001</v>
      </c>
    </row>
    <row r="12" spans="1:26" x14ac:dyDescent="0.3">
      <c r="A12" s="7">
        <f t="shared" si="2"/>
        <v>6</v>
      </c>
      <c r="B12" s="8">
        <f t="shared" si="9"/>
        <v>46057</v>
      </c>
      <c r="C12" s="9" t="str" cm="1">
        <f t="array" ref="C12">_xlfn.XLOOKUP(E12,Masterdata!$B$31:$B$44,Masterdata!$A$31:$A$44,_xlfn.SWITCH(WEEKDAY($D12, 2), 1, "mandag", 2, "tirsdag", 3, "onsdag", 4, "torsdag", 5, "fredag", 6, "lørdag", 7, "søndag"),0)</f>
        <v>onsdag</v>
      </c>
      <c r="D12">
        <f t="shared" si="0"/>
        <v>4</v>
      </c>
      <c r="E12" s="19">
        <f t="shared" si="3"/>
        <v>46057</v>
      </c>
      <c r="F12" s="10" t="s">
        <v>23</v>
      </c>
      <c r="G12" s="12">
        <f>IF(OR(AND(F12="N",NOT(OR(C12="mandag",C12="tirsdag",C12="onsdag",C12="torsdag",C12="fredag"))),F12="F"),0,
        IF(OR(
            AND(Masterdata!$B$4&lt;&gt;DATE(1900,1,0), Masterdata!$B$4&lt;$E12),
            AND(Masterdata!$B$3&lt;&gt;DATE(1900,1,0), Masterdata!$B$3&gt;$E12)
        ),
        0, $X$7/(5-H12)))</f>
        <v>0.30833333333333335</v>
      </c>
      <c r="H12" s="86">
        <f>SUMPRODUCT(COUNTIFS(Januar!$A$9:$A$39,$A12,Januar!$D$9:$D$39,"&lt;7",Januar!$F$9:$F$39,"F")+COUNTIFS($A$9:$A$38,$A12,$D$9:$D$38,"&lt;7",$F$9:$F$38,"F")+COUNTIFS(Marts!$A$9:$A$39,$A12,Marts!$D$9:$D$39,"&lt;7",Marts!$F$9:$F$39,"F"))</f>
        <v>0</v>
      </c>
      <c r="I12" s="11">
        <v>0</v>
      </c>
      <c r="J12" s="11">
        <v>0</v>
      </c>
      <c r="K12" s="11">
        <v>0</v>
      </c>
      <c r="L12" s="26" t="str">
        <f t="shared" si="1"/>
        <v>07:24</v>
      </c>
      <c r="M12" s="26" t="str">
        <f>IF(OR(F12="N",F12="F"),"0:00",
IF(
OR(
AND(Masterdata!$B$4&lt;&gt;DATE(1900,1,0),Masterdata!$B$4&lt;$E12),
AND(Masterdata!$B$3&lt;&gt;DATE(1900,1,0),Masterdata!$B$3&gt;$E12)
),"0:00",
IF(
$I12&gt;TIME(0,0,0),
IF(
NOT(OR($C12="mandag",$C12="tirsdag",$C12="onsdag",$C12="torsdag",$C12="fredag")),
TEXT($I12,"[tt]:mm"),
IF($I12-$G12&gt;=0,TEXT($I12-$G12,"[tt]:mm"),"-"&amp;TEXT(ABS($I12-$G12),"[tt]:mm"))
),
IF(
NOT(OR($C12="mandag",$C12="tirsdag",$C12="onsdag",$C12="torsdag",$C12="fredag")),
IF($K12-$J12&gt;=0,TEXT($K12-$J12,"[tt]:mm"),"-"&amp;TEXT(ABS($K12-$J12),"[tt]:mm")),
IF(
$K12-$J12-$G12&gt;=0,
TEXT($K12-$J12-$G12,"[tt]:mm"),
"-"&amp;TEXT(ABS($K12-$J12-$G12),"[tt]:mm")
)
)
)
))</f>
        <v>0:00</v>
      </c>
      <c r="N12" s="21" t="str">
        <f t="shared" si="4"/>
        <v>0</v>
      </c>
      <c r="O12" s="25" t="str">
        <f t="shared" si="5"/>
        <v>0:</v>
      </c>
      <c r="P12" s="20" t="str">
        <f t="shared" si="6"/>
        <v>0</v>
      </c>
      <c r="Q12" s="24">
        <f t="shared" si="7"/>
        <v>0</v>
      </c>
      <c r="R12" s="2">
        <f t="shared" si="8"/>
        <v>0</v>
      </c>
      <c r="S12" s="112"/>
      <c r="T12" s="111"/>
    </row>
    <row r="13" spans="1:26" x14ac:dyDescent="0.3">
      <c r="A13" s="7">
        <f t="shared" si="2"/>
        <v>6</v>
      </c>
      <c r="B13" s="8">
        <f t="shared" si="9"/>
        <v>46058</v>
      </c>
      <c r="C13" s="9" t="str" cm="1">
        <f t="array" ref="C13">_xlfn.XLOOKUP(E13,Masterdata!$B$31:$B$44,Masterdata!$A$31:$A$44,_xlfn.SWITCH(WEEKDAY($D13, 2), 1, "mandag", 2, "tirsdag", 3, "onsdag", 4, "torsdag", 5, "fredag", 6, "lørdag", 7, "søndag"),0)</f>
        <v>torsdag</v>
      </c>
      <c r="D13">
        <f t="shared" si="0"/>
        <v>5</v>
      </c>
      <c r="E13" s="19">
        <f t="shared" si="3"/>
        <v>46058</v>
      </c>
      <c r="F13" s="10" t="s">
        <v>23</v>
      </c>
      <c r="G13" s="12">
        <f>IF(OR(AND(F13="N",NOT(OR(C13="mandag",C13="tirsdag",C13="onsdag",C13="torsdag",C13="fredag"))),F13="F"),0,
        IF(OR(
            AND(Masterdata!$B$4&lt;&gt;DATE(1900,1,0), Masterdata!$B$4&lt;$E13),
            AND(Masterdata!$B$3&lt;&gt;DATE(1900,1,0), Masterdata!$B$3&gt;$E13)
        ),
        0, $X$7/(5-H13)))</f>
        <v>0.30833333333333335</v>
      </c>
      <c r="H13" s="86">
        <f>SUMPRODUCT(COUNTIFS(Januar!$A$9:$A$39,$A13,Januar!$D$9:$D$39,"&lt;7",Januar!$F$9:$F$39,"F")+COUNTIFS($A$9:$A$38,$A13,$D$9:$D$38,"&lt;7",$F$9:$F$38,"F")+COUNTIFS(Marts!$A$9:$A$39,$A13,Marts!$D$9:$D$39,"&lt;7",Marts!$F$9:$F$39,"F"))</f>
        <v>0</v>
      </c>
      <c r="I13" s="11">
        <v>0</v>
      </c>
      <c r="J13" s="11">
        <v>0</v>
      </c>
      <c r="K13" s="11">
        <v>0</v>
      </c>
      <c r="L13" s="26" t="str">
        <f t="shared" si="1"/>
        <v>07:24</v>
      </c>
      <c r="M13" s="26" t="str">
        <f>IF(OR(F13="N",F13="F"),"0:00",
IF(
OR(
AND(Masterdata!$B$4&lt;&gt;DATE(1900,1,0),Masterdata!$B$4&lt;$E13),
AND(Masterdata!$B$3&lt;&gt;DATE(1900,1,0),Masterdata!$B$3&gt;$E13)
),"0:00",
IF(
$I13&gt;TIME(0,0,0),
IF(
NOT(OR($C13="mandag",$C13="tirsdag",$C13="onsdag",$C13="torsdag",$C13="fredag")),
TEXT($I13,"[tt]:mm"),
IF($I13-$G13&gt;=0,TEXT($I13-$G13,"[tt]:mm"),"-"&amp;TEXT(ABS($I13-$G13),"[tt]:mm"))
),
IF(
NOT(OR($C13="mandag",$C13="tirsdag",$C13="onsdag",$C13="torsdag",$C13="fredag")),
IF($K13-$J13&gt;=0,TEXT($K13-$J13,"[tt]:mm"),"-"&amp;TEXT(ABS($K13-$J13),"[tt]:mm")),
IF(
$K13-$J13-$G13&gt;=0,
TEXT($K13-$J13-$G13,"[tt]:mm"),
"-"&amp;TEXT(ABS($K13-$J13-$G13),"[tt]:mm")
)
)
)
))</f>
        <v>0:00</v>
      </c>
      <c r="N13" s="21" t="str">
        <f t="shared" si="4"/>
        <v>0</v>
      </c>
      <c r="O13" s="25" t="str">
        <f t="shared" si="5"/>
        <v>0:</v>
      </c>
      <c r="P13" s="20" t="str">
        <f t="shared" si="6"/>
        <v>0</v>
      </c>
      <c r="Q13" s="24">
        <f t="shared" si="7"/>
        <v>0</v>
      </c>
      <c r="R13" s="2">
        <f t="shared" si="8"/>
        <v>0</v>
      </c>
      <c r="S13" s="112"/>
      <c r="T13" s="111"/>
      <c r="X13" s="2"/>
    </row>
    <row r="14" spans="1:26" x14ac:dyDescent="0.3">
      <c r="A14" s="7">
        <f t="shared" si="2"/>
        <v>6</v>
      </c>
      <c r="B14" s="8">
        <f t="shared" si="9"/>
        <v>46059</v>
      </c>
      <c r="C14" s="9" t="str" cm="1">
        <f t="array" ref="C14">_xlfn.XLOOKUP(E14,Masterdata!$B$31:$B$44,Masterdata!$A$31:$A$44,_xlfn.SWITCH(WEEKDAY($D14, 2), 1, "mandag", 2, "tirsdag", 3, "onsdag", 4, "torsdag", 5, "fredag", 6, "lørdag", 7, "søndag"),0)</f>
        <v>fredag</v>
      </c>
      <c r="D14">
        <f t="shared" si="0"/>
        <v>6</v>
      </c>
      <c r="E14" s="19">
        <f t="shared" si="3"/>
        <v>46059</v>
      </c>
      <c r="F14" s="10" t="s">
        <v>23</v>
      </c>
      <c r="G14" s="12">
        <f>IF(OR(AND(F14="N",NOT(OR(C14="mandag",C14="tirsdag",C14="onsdag",C14="torsdag",C14="fredag"))),F14="F"),0,
        IF(OR(
            AND(Masterdata!$B$4&lt;&gt;DATE(1900,1,0), Masterdata!$B$4&lt;$E14),
            AND(Masterdata!$B$3&lt;&gt;DATE(1900,1,0), Masterdata!$B$3&gt;$E14)
        ),
        0, $X$7/(5-H14)))</f>
        <v>0.30833333333333335</v>
      </c>
      <c r="H14" s="86">
        <f>SUMPRODUCT(COUNTIFS(Januar!$A$9:$A$39,$A14,Januar!$D$9:$D$39,"&lt;7",Januar!$F$9:$F$39,"F")+COUNTIFS($A$9:$A$38,$A14,$D$9:$D$38,"&lt;7",$F$9:$F$38,"F")+COUNTIFS(Marts!$A$9:$A$39,$A14,Marts!$D$9:$D$39,"&lt;7",Marts!$F$9:$F$39,"F"))</f>
        <v>0</v>
      </c>
      <c r="I14" s="11">
        <v>0</v>
      </c>
      <c r="J14" s="11">
        <v>0</v>
      </c>
      <c r="K14" s="11">
        <v>0</v>
      </c>
      <c r="L14" s="26" t="str">
        <f t="shared" si="1"/>
        <v>07:24</v>
      </c>
      <c r="M14" s="26" t="str">
        <f>IF(OR(F14="N",F14="F"),"0:00",
IF(
OR(
AND(Masterdata!$B$4&lt;&gt;DATE(1900,1,0),Masterdata!$B$4&lt;$E14),
AND(Masterdata!$B$3&lt;&gt;DATE(1900,1,0),Masterdata!$B$3&gt;$E14)
),"0:00",
IF(
$I14&gt;TIME(0,0,0),
IF(
NOT(OR($C14="mandag",$C14="tirsdag",$C14="onsdag",$C14="torsdag",$C14="fredag")),
TEXT($I14,"[tt]:mm"),
IF($I14-$G14&gt;=0,TEXT($I14-$G14,"[tt]:mm"),"-"&amp;TEXT(ABS($I14-$G14),"[tt]:mm"))
),
IF(
NOT(OR($C14="mandag",$C14="tirsdag",$C14="onsdag",$C14="torsdag",$C14="fredag")),
IF($K14-$J14&gt;=0,TEXT($K14-$J14,"[tt]:mm"),"-"&amp;TEXT(ABS($K14-$J14),"[tt]:mm")),
IF(
$K14-$J14-$G14&gt;=0,
TEXT($K14-$J14-$G14,"[tt]:mm"),
"-"&amp;TEXT(ABS($K14-$J14-$G14),"[tt]:mm")
)
)
)
))</f>
        <v>0:00</v>
      </c>
      <c r="N14" s="21" t="str">
        <f t="shared" si="4"/>
        <v>0</v>
      </c>
      <c r="O14" s="25" t="str">
        <f t="shared" si="5"/>
        <v>0:</v>
      </c>
      <c r="P14" s="20" t="str">
        <f t="shared" si="6"/>
        <v>0</v>
      </c>
      <c r="Q14" s="24">
        <f t="shared" si="7"/>
        <v>0</v>
      </c>
      <c r="R14" s="2">
        <f t="shared" si="8"/>
        <v>0</v>
      </c>
      <c r="S14" s="98"/>
      <c r="T14" s="98"/>
      <c r="X14" s="16"/>
    </row>
    <row r="15" spans="1:26" x14ac:dyDescent="0.3">
      <c r="A15" s="7">
        <f t="shared" si="2"/>
        <v>6</v>
      </c>
      <c r="B15" s="8">
        <f t="shared" si="9"/>
        <v>46060</v>
      </c>
      <c r="C15" s="9" t="str" cm="1">
        <f t="array" ref="C15">_xlfn.XLOOKUP(E15,Masterdata!$B$31:$B$44,Masterdata!$A$31:$A$44,_xlfn.SWITCH(WEEKDAY($D15, 2), 1, "mandag", 2, "tirsdag", 3, "onsdag", 4, "torsdag", 5, "fredag", 6, "lørdag", 7, "søndag"),0)</f>
        <v>lørdag</v>
      </c>
      <c r="D15">
        <f t="shared" si="0"/>
        <v>7</v>
      </c>
      <c r="E15" s="19">
        <f t="shared" si="3"/>
        <v>46060</v>
      </c>
      <c r="F15" s="10" t="s">
        <v>23</v>
      </c>
      <c r="G15" s="12">
        <f>IF(OR(AND(F15="N",NOT(OR(C15="mandag",C15="tirsdag",C15="onsdag",C15="torsdag",C15="fredag"))),F15="F"),0,
        IF(OR(
            AND(Masterdata!$B$4&lt;&gt;DATE(1900,1,0), Masterdata!$B$4&lt;$E15),
            AND(Masterdata!$B$3&lt;&gt;DATE(1900,1,0), Masterdata!$B$3&gt;$E15)
        ),
        0, $X$7/(5-H15)))</f>
        <v>0</v>
      </c>
      <c r="H15" s="86">
        <f>SUMPRODUCT(COUNTIFS(Januar!$A$9:$A$39,$A15,Januar!$D$9:$D$39,"&lt;7",Januar!$F$9:$F$39,"F")+COUNTIFS($A$9:$A$38,$A15,$D$9:$D$38,"&lt;7",$F$9:$F$38,"F")+COUNTIFS(Marts!$A$9:$A$39,$A15,Marts!$D$9:$D$39,"&lt;7",Marts!$F$9:$F$39,"F"))</f>
        <v>0</v>
      </c>
      <c r="I15" s="11">
        <v>0</v>
      </c>
      <c r="J15" s="11">
        <v>0</v>
      </c>
      <c r="K15" s="11">
        <v>0</v>
      </c>
      <c r="L15" s="26" t="str">
        <f t="shared" si="1"/>
        <v>00:00</v>
      </c>
      <c r="M15" s="26" t="str">
        <f>IF(OR(F15="N",F15="F"),"0:00",
IF(
OR(
AND(Masterdata!$B$4&lt;&gt;DATE(1900,1,0),Masterdata!$B$4&lt;$E15),
AND(Masterdata!$B$3&lt;&gt;DATE(1900,1,0),Masterdata!$B$3&gt;$E15)
),"0:00",
IF(
$I15&gt;TIME(0,0,0),
IF(
NOT(OR($C15="mandag",$C15="tirsdag",$C15="onsdag",$C15="torsdag",$C15="fredag")),
TEXT($I15,"[tt]:mm"),
IF($I15-$G15&gt;=0,TEXT($I15-$G15,"[tt]:mm"),"-"&amp;TEXT(ABS($I15-$G15),"[tt]:mm"))
),
IF(
NOT(OR($C15="mandag",$C15="tirsdag",$C15="onsdag",$C15="torsdag",$C15="fredag")),
IF($K15-$J15&gt;=0,TEXT($K15-$J15,"[tt]:mm"),"-"&amp;TEXT(ABS($K15-$J15),"[tt]:mm")),
IF(
$K15-$J15-$G15&gt;=0,
TEXT($K15-$J15-$G15,"[tt]:mm"),
"-"&amp;TEXT(ABS($K15-$J15-$G15),"[tt]:mm")
)
)
)
))</f>
        <v>0:00</v>
      </c>
      <c r="N15" s="21" t="str">
        <f t="shared" si="4"/>
        <v>0</v>
      </c>
      <c r="O15" s="25" t="str">
        <f t="shared" si="5"/>
        <v>0:</v>
      </c>
      <c r="P15" s="20" t="str">
        <f t="shared" si="6"/>
        <v>0</v>
      </c>
      <c r="Q15" s="24">
        <f>P15/60</f>
        <v>0</v>
      </c>
      <c r="R15" s="2">
        <f>IF(N15="-",O15-Q15,O15+Q15)</f>
        <v>0</v>
      </c>
      <c r="S15" s="98"/>
      <c r="T15" s="98"/>
    </row>
    <row r="16" spans="1:26" x14ac:dyDescent="0.3">
      <c r="A16" s="7">
        <f t="shared" si="2"/>
        <v>6</v>
      </c>
      <c r="B16" s="8">
        <f t="shared" si="9"/>
        <v>46061</v>
      </c>
      <c r="C16" s="9" t="str" cm="1">
        <f t="array" ref="C16">_xlfn.XLOOKUP(E16,Masterdata!$B$31:$B$44,Masterdata!$A$31:$A$44,_xlfn.SWITCH(WEEKDAY($D16, 2), 1, "mandag", 2, "tirsdag", 3, "onsdag", 4, "torsdag", 5, "fredag", 6, "lørdag", 7, "søndag"),0)</f>
        <v>søndag</v>
      </c>
      <c r="D16">
        <f t="shared" si="0"/>
        <v>8</v>
      </c>
      <c r="E16" s="19">
        <f t="shared" si="3"/>
        <v>46061</v>
      </c>
      <c r="F16" s="10" t="s">
        <v>23</v>
      </c>
      <c r="G16" s="12">
        <f>IF(OR(AND(F16="N",NOT(OR(C16="mandag",C16="tirsdag",C16="onsdag",C16="torsdag",C16="fredag"))),F16="F"),0,
        IF(OR(
            AND(Masterdata!$B$4&lt;&gt;DATE(1900,1,0), Masterdata!$B$4&lt;$E16),
            AND(Masterdata!$B$3&lt;&gt;DATE(1900,1,0), Masterdata!$B$3&gt;$E16)
        ),
        0, $X$7/(5-H16)))</f>
        <v>0</v>
      </c>
      <c r="H16" s="86">
        <f>SUMPRODUCT(COUNTIFS(Januar!$A$9:$A$39,$A16,Januar!$D$9:$D$39,"&lt;7",Januar!$F$9:$F$39,"F")+COUNTIFS($A$9:$A$38,$A16,$D$9:$D$38,"&lt;7",$F$9:$F$38,"F")+COUNTIFS(Marts!$A$9:$A$39,$A16,Marts!$D$9:$D$39,"&lt;7",Marts!$F$9:$F$39,"F"))</f>
        <v>0</v>
      </c>
      <c r="I16" s="11">
        <v>0</v>
      </c>
      <c r="J16" s="11">
        <v>0</v>
      </c>
      <c r="K16" s="11">
        <v>0</v>
      </c>
      <c r="L16" s="26" t="str">
        <f t="shared" si="1"/>
        <v>00:00</v>
      </c>
      <c r="M16" s="26" t="str">
        <f>IF(OR(F16="N",F16="F"),"0:00",
IF(
OR(
AND(Masterdata!$B$4&lt;&gt;DATE(1900,1,0),Masterdata!$B$4&lt;$E16),
AND(Masterdata!$B$3&lt;&gt;DATE(1900,1,0),Masterdata!$B$3&gt;$E16)
),"0:00",
IF(
$I16&gt;TIME(0,0,0),
IF(
NOT(OR($C16="mandag",$C16="tirsdag",$C16="onsdag",$C16="torsdag",$C16="fredag")),
TEXT($I16,"[tt]:mm"),
IF($I16-$G16&gt;=0,TEXT($I16-$G16,"[tt]:mm"),"-"&amp;TEXT(ABS($I16-$G16),"[tt]:mm"))
),
IF(
NOT(OR($C16="mandag",$C16="tirsdag",$C16="onsdag",$C16="torsdag",$C16="fredag")),
IF($K16-$J16&gt;=0,TEXT($K16-$J16,"[tt]:mm"),"-"&amp;TEXT(ABS($K16-$J16),"[tt]:mm")),
IF(
$K16-$J16-$G16&gt;=0,
TEXT($K16-$J16-$G16,"[tt]:mm"),
"-"&amp;TEXT(ABS($K16-$J16-$G16),"[tt]:mm")
)
)
)
))</f>
        <v>0:00</v>
      </c>
      <c r="N16" s="21" t="str">
        <f t="shared" si="4"/>
        <v>0</v>
      </c>
      <c r="O16" s="25" t="str">
        <f t="shared" si="5"/>
        <v>0:</v>
      </c>
      <c r="P16" s="20" t="str">
        <f t="shared" si="6"/>
        <v>0</v>
      </c>
      <c r="Q16" s="24">
        <f t="shared" ref="Q16:Q36" si="10">P16/60</f>
        <v>0</v>
      </c>
      <c r="R16" s="2">
        <f t="shared" ref="R16:R20" si="11">IF(N16="-",O16-Q16,O16+Q16)</f>
        <v>0</v>
      </c>
      <c r="S16" s="98"/>
      <c r="T16" s="98"/>
      <c r="U16" t="s">
        <v>46</v>
      </c>
      <c r="V16" t="s">
        <v>47</v>
      </c>
      <c r="W16" t="s">
        <v>48</v>
      </c>
      <c r="X16" s="2">
        <f>X11-X14</f>
        <v>160.33000000000001</v>
      </c>
    </row>
    <row r="17" spans="1:24" x14ac:dyDescent="0.3">
      <c r="A17" s="7">
        <f t="shared" si="2"/>
        <v>7</v>
      </c>
      <c r="B17" s="8">
        <f t="shared" si="9"/>
        <v>46062</v>
      </c>
      <c r="C17" s="9" t="str" cm="1">
        <f t="array" ref="C17">_xlfn.XLOOKUP(E17,Masterdata!$B$31:$B$44,Masterdata!$A$31:$A$44,_xlfn.SWITCH(WEEKDAY($D17, 2), 1, "mandag", 2, "tirsdag", 3, "onsdag", 4, "torsdag", 5, "fredag", 6, "lørdag", 7, "søndag"),0)</f>
        <v>mandag</v>
      </c>
      <c r="D17">
        <f t="shared" si="0"/>
        <v>2</v>
      </c>
      <c r="E17" s="19">
        <f t="shared" si="3"/>
        <v>46062</v>
      </c>
      <c r="F17" s="10" t="s">
        <v>23</v>
      </c>
      <c r="G17" s="12">
        <f>IF(OR(AND(F17="N",NOT(OR(C17="mandag",C17="tirsdag",C17="onsdag",C17="torsdag",C17="fredag"))),F17="F"),0,
        IF(OR(
            AND(Masterdata!$B$4&lt;&gt;DATE(1900,1,0), Masterdata!$B$4&lt;$E17),
            AND(Masterdata!$B$3&lt;&gt;DATE(1900,1,0), Masterdata!$B$3&gt;$E17)
        ),
        0, $X$7/(5-H17)))</f>
        <v>0.30833333333333335</v>
      </c>
      <c r="H17" s="86">
        <f>SUMPRODUCT(COUNTIFS(Januar!$A$9:$A$39,$A17,Januar!$D$9:$D$39,"&lt;7",Januar!$F$9:$F$39,"F")+COUNTIFS($A$9:$A$38,$A17,$D$9:$D$38,"&lt;7",$F$9:$F$38,"F")+COUNTIFS(Marts!$A$9:$A$39,$A17,Marts!$D$9:$D$39,"&lt;7",Marts!$F$9:$F$39,"F"))</f>
        <v>0</v>
      </c>
      <c r="I17" s="11">
        <v>0</v>
      </c>
      <c r="J17" s="11">
        <v>0</v>
      </c>
      <c r="K17" s="11">
        <v>0</v>
      </c>
      <c r="L17" s="26" t="str">
        <f t="shared" si="1"/>
        <v>07:24</v>
      </c>
      <c r="M17" s="26" t="str">
        <f>IF(OR(F17="N",F17="F"),"0:00",
IF(
OR(
AND(Masterdata!$B$4&lt;&gt;DATE(1900,1,0),Masterdata!$B$4&lt;$E17),
AND(Masterdata!$B$3&lt;&gt;DATE(1900,1,0),Masterdata!$B$3&gt;$E17)
),"0:00",
IF(
$I17&gt;TIME(0,0,0),
IF(
NOT(OR($C17="mandag",$C17="tirsdag",$C17="onsdag",$C17="torsdag",$C17="fredag")),
TEXT($I17,"[tt]:mm"),
IF($I17-$G17&gt;=0,TEXT($I17-$G17,"[tt]:mm"),"-"&amp;TEXT(ABS($I17-$G17),"[tt]:mm"))
),
IF(
NOT(OR($C17="mandag",$C17="tirsdag",$C17="onsdag",$C17="torsdag",$C17="fredag")),
IF($K17-$J17&gt;=0,TEXT($K17-$J17,"[tt]:mm"),"-"&amp;TEXT(ABS($K17-$J17),"[tt]:mm")),
IF(
$K17-$J17-$G17&gt;=0,
TEXT($K17-$J17-$G17,"[tt]:mm"),
"-"&amp;TEXT(ABS($K17-$J17-$G17),"[tt]:mm")
)
)
)
))</f>
        <v>0:00</v>
      </c>
      <c r="N17" s="21" t="str">
        <f t="shared" si="4"/>
        <v>0</v>
      </c>
      <c r="O17" s="25" t="str">
        <f t="shared" si="5"/>
        <v>0:</v>
      </c>
      <c r="P17" s="20" t="str">
        <f t="shared" si="6"/>
        <v>0</v>
      </c>
      <c r="Q17" s="24">
        <f t="shared" si="10"/>
        <v>0</v>
      </c>
      <c r="R17" s="2">
        <f t="shared" si="11"/>
        <v>0</v>
      </c>
      <c r="S17" s="98"/>
      <c r="T17" s="98"/>
      <c r="U17" t="s">
        <v>49</v>
      </c>
      <c r="V17" t="s">
        <v>50</v>
      </c>
      <c r="W17" t="s">
        <v>51</v>
      </c>
      <c r="X17" s="2" t="e">
        <f>SUM(#REF!)</f>
        <v>#REF!</v>
      </c>
    </row>
    <row r="18" spans="1:24" x14ac:dyDescent="0.3">
      <c r="A18" s="7">
        <f t="shared" si="2"/>
        <v>7</v>
      </c>
      <c r="B18" s="8">
        <f t="shared" si="9"/>
        <v>46063</v>
      </c>
      <c r="C18" s="9" t="str" cm="1">
        <f t="array" ref="C18">_xlfn.XLOOKUP(E18,Masterdata!$B$31:$B$44,Masterdata!$A$31:$A$44,_xlfn.SWITCH(WEEKDAY($D18, 2), 1, "mandag", 2, "tirsdag", 3, "onsdag", 4, "torsdag", 5, "fredag", 6, "lørdag", 7, "søndag"),0)</f>
        <v>tirsdag</v>
      </c>
      <c r="D18">
        <f t="shared" si="0"/>
        <v>3</v>
      </c>
      <c r="E18" s="19">
        <f t="shared" si="3"/>
        <v>46063</v>
      </c>
      <c r="F18" s="10" t="s">
        <v>23</v>
      </c>
      <c r="G18" s="12">
        <f>IF(OR(AND(F18="N",NOT(OR(C18="mandag",C18="tirsdag",C18="onsdag",C18="torsdag",C18="fredag"))),F18="F"),0,
        IF(OR(
            AND(Masterdata!$B$4&lt;&gt;DATE(1900,1,0), Masterdata!$B$4&lt;$E18),
            AND(Masterdata!$B$3&lt;&gt;DATE(1900,1,0), Masterdata!$B$3&gt;$E18)
        ),
        0, $X$7/(5-H18)))</f>
        <v>0.30833333333333335</v>
      </c>
      <c r="H18" s="86">
        <f>SUMPRODUCT(COUNTIFS(Januar!$A$9:$A$39,$A18,Januar!$D$9:$D$39,"&lt;7",Januar!$F$9:$F$39,"F")+COUNTIFS($A$9:$A$38,$A18,$D$9:$D$38,"&lt;7",$F$9:$F$38,"F")+COUNTIFS(Marts!$A$9:$A$39,$A18,Marts!$D$9:$D$39,"&lt;7",Marts!$F$9:$F$39,"F"))</f>
        <v>0</v>
      </c>
      <c r="I18" s="11">
        <v>0</v>
      </c>
      <c r="J18" s="11">
        <v>0</v>
      </c>
      <c r="K18" s="11">
        <v>0</v>
      </c>
      <c r="L18" s="26" t="str">
        <f t="shared" si="1"/>
        <v>07:24</v>
      </c>
      <c r="M18" s="26" t="str">
        <f>IF(OR(F18="N",F18="F"),"0:00",
IF(
OR(
AND(Masterdata!$B$4&lt;&gt;DATE(1900,1,0),Masterdata!$B$4&lt;$E18),
AND(Masterdata!$B$3&lt;&gt;DATE(1900,1,0),Masterdata!$B$3&gt;$E18)
),"0:00",
IF(
$I18&gt;TIME(0,0,0),
IF(
NOT(OR($C18="mandag",$C18="tirsdag",$C18="onsdag",$C18="torsdag",$C18="fredag")),
TEXT($I18,"[tt]:mm"),
IF($I18-$G18&gt;=0,TEXT($I18-$G18,"[tt]:mm"),"-"&amp;TEXT(ABS($I18-$G18),"[tt]:mm"))
),
IF(
NOT(OR($C18="mandag",$C18="tirsdag",$C18="onsdag",$C18="torsdag",$C18="fredag")),
IF($K18-$J18&gt;=0,TEXT($K18-$J18,"[tt]:mm"),"-"&amp;TEXT(ABS($K18-$J18),"[tt]:mm")),
IF(
$K18-$J18-$G18&gt;=0,
TEXT($K18-$J18-$G18,"[tt]:mm"),
"-"&amp;TEXT(ABS($K18-$J18-$G18),"[tt]:mm")
)
)
)
))</f>
        <v>0:00</v>
      </c>
      <c r="N18" s="21" t="str">
        <f t="shared" si="4"/>
        <v>0</v>
      </c>
      <c r="O18" s="25" t="str">
        <f t="shared" si="5"/>
        <v>0:</v>
      </c>
      <c r="P18" s="20" t="str">
        <f t="shared" si="6"/>
        <v>0</v>
      </c>
      <c r="Q18" s="24">
        <f t="shared" si="10"/>
        <v>0</v>
      </c>
      <c r="R18" s="2">
        <f t="shared" si="11"/>
        <v>0</v>
      </c>
      <c r="S18" s="98"/>
      <c r="T18" s="98"/>
      <c r="U18" t="s">
        <v>25</v>
      </c>
      <c r="V18" t="s">
        <v>52</v>
      </c>
      <c r="W18" t="s">
        <v>53</v>
      </c>
      <c r="X18" s="2" t="e">
        <f>X16-X17</f>
        <v>#REF!</v>
      </c>
    </row>
    <row r="19" spans="1:24" x14ac:dyDescent="0.3">
      <c r="A19" s="7">
        <f t="shared" si="2"/>
        <v>7</v>
      </c>
      <c r="B19" s="8">
        <f t="shared" si="9"/>
        <v>46064</v>
      </c>
      <c r="C19" s="9" t="str" cm="1">
        <f t="array" ref="C19">_xlfn.XLOOKUP(E19,Masterdata!$B$31:$B$44,Masterdata!$A$31:$A$44,_xlfn.SWITCH(WEEKDAY($D19, 2), 1, "mandag", 2, "tirsdag", 3, "onsdag", 4, "torsdag", 5, "fredag", 6, "lørdag", 7, "søndag"),0)</f>
        <v>onsdag</v>
      </c>
      <c r="D19">
        <f t="shared" si="0"/>
        <v>4</v>
      </c>
      <c r="E19" s="19">
        <f t="shared" si="3"/>
        <v>46064</v>
      </c>
      <c r="F19" s="10" t="s">
        <v>23</v>
      </c>
      <c r="G19" s="12">
        <f>IF(OR(AND(F19="N",NOT(OR(C19="mandag",C19="tirsdag",C19="onsdag",C19="torsdag",C19="fredag"))),F19="F"),0,
        IF(OR(
            AND(Masterdata!$B$4&lt;&gt;DATE(1900,1,0), Masterdata!$B$4&lt;$E19),
            AND(Masterdata!$B$3&lt;&gt;DATE(1900,1,0), Masterdata!$B$3&gt;$E19)
        ),
        0, $X$7/(5-H19)))</f>
        <v>0.30833333333333335</v>
      </c>
      <c r="H19" s="86">
        <f>SUMPRODUCT(COUNTIFS(Januar!$A$9:$A$39,$A19,Januar!$D$9:$D$39,"&lt;7",Januar!$F$9:$F$39,"F")+COUNTIFS($A$9:$A$38,$A19,$D$9:$D$38,"&lt;7",$F$9:$F$38,"F")+COUNTIFS(Marts!$A$9:$A$39,$A19,Marts!$D$9:$D$39,"&lt;7",Marts!$F$9:$F$39,"F"))</f>
        <v>0</v>
      </c>
      <c r="I19" s="11">
        <v>0</v>
      </c>
      <c r="J19" s="11">
        <v>0</v>
      </c>
      <c r="K19" s="11">
        <v>0</v>
      </c>
      <c r="L19" s="26" t="str">
        <f t="shared" si="1"/>
        <v>07:24</v>
      </c>
      <c r="M19" s="26" t="str">
        <f>IF(OR(F19="N",F19="F"),"0:00",
IF(
OR(
AND(Masterdata!$B$4&lt;&gt;DATE(1900,1,0),Masterdata!$B$4&lt;$E19),
AND(Masterdata!$B$3&lt;&gt;DATE(1900,1,0),Masterdata!$B$3&gt;$E19)
),"0:00",
IF(
$I19&gt;TIME(0,0,0),
IF(
NOT(OR($C19="mandag",$C19="tirsdag",$C19="onsdag",$C19="torsdag",$C19="fredag")),
TEXT($I19,"[tt]:mm"),
IF($I19-$G19&gt;=0,TEXT($I19-$G19,"[tt]:mm"),"-"&amp;TEXT(ABS($I19-$G19),"[tt]:mm"))
),
IF(
NOT(OR($C19="mandag",$C19="tirsdag",$C19="onsdag",$C19="torsdag",$C19="fredag")),
IF($K19-$J19&gt;=0,TEXT($K19-$J19,"[tt]:mm"),"-"&amp;TEXT(ABS($K19-$J19),"[tt]:mm")),
IF(
$K19-$J19-$G19&gt;=0,
TEXT($K19-$J19-$G19,"[tt]:mm"),
"-"&amp;TEXT(ABS($K19-$J19-$G19),"[tt]:mm")
)
)
)
))</f>
        <v>0:00</v>
      </c>
      <c r="N19" s="21" t="str">
        <f t="shared" si="4"/>
        <v>0</v>
      </c>
      <c r="O19" s="25" t="str">
        <f t="shared" si="5"/>
        <v>0:</v>
      </c>
      <c r="P19" s="20" t="str">
        <f t="shared" si="6"/>
        <v>0</v>
      </c>
      <c r="Q19" s="24">
        <f t="shared" si="10"/>
        <v>0</v>
      </c>
      <c r="R19" s="2">
        <f t="shared" si="11"/>
        <v>0</v>
      </c>
      <c r="S19" s="98"/>
      <c r="T19" s="98"/>
      <c r="W19" s="19"/>
    </row>
    <row r="20" spans="1:24" x14ac:dyDescent="0.3">
      <c r="A20" s="7">
        <f t="shared" si="2"/>
        <v>7</v>
      </c>
      <c r="B20" s="8">
        <f t="shared" si="9"/>
        <v>46065</v>
      </c>
      <c r="C20" s="9" t="str" cm="1">
        <f t="array" ref="C20">_xlfn.XLOOKUP(E20,Masterdata!$B$31:$B$44,Masterdata!$A$31:$A$44,_xlfn.SWITCH(WEEKDAY($D20, 2), 1, "mandag", 2, "tirsdag", 3, "onsdag", 4, "torsdag", 5, "fredag", 6, "lørdag", 7, "søndag"),0)</f>
        <v>torsdag</v>
      </c>
      <c r="D20">
        <f t="shared" si="0"/>
        <v>5</v>
      </c>
      <c r="E20" s="19">
        <f t="shared" si="3"/>
        <v>46065</v>
      </c>
      <c r="F20" s="10" t="s">
        <v>23</v>
      </c>
      <c r="G20" s="12">
        <f>IF(OR(AND(F20="N",NOT(OR(C20="mandag",C20="tirsdag",C20="onsdag",C20="torsdag",C20="fredag"))),F20="F"),0,
        IF(OR(
            AND(Masterdata!$B$4&lt;&gt;DATE(1900,1,0), Masterdata!$B$4&lt;$E20),
            AND(Masterdata!$B$3&lt;&gt;DATE(1900,1,0), Masterdata!$B$3&gt;$E20)
        ),
        0, $X$7/(5-H20)))</f>
        <v>0.30833333333333335</v>
      </c>
      <c r="H20" s="86">
        <f>SUMPRODUCT(COUNTIFS(Januar!$A$9:$A$39,$A20,Januar!$D$9:$D$39,"&lt;7",Januar!$F$9:$F$39,"F")+COUNTIFS($A$9:$A$38,$A20,$D$9:$D$38,"&lt;7",$F$9:$F$38,"F")+COUNTIFS(Marts!$A$9:$A$39,$A20,Marts!$D$9:$D$39,"&lt;7",Marts!$F$9:$F$39,"F"))</f>
        <v>0</v>
      </c>
      <c r="I20" s="11">
        <v>0</v>
      </c>
      <c r="J20" s="11">
        <v>0</v>
      </c>
      <c r="K20" s="11">
        <v>0</v>
      </c>
      <c r="L20" s="26" t="str">
        <f t="shared" si="1"/>
        <v>07:24</v>
      </c>
      <c r="M20" s="26" t="str">
        <f>IF(OR(F20="N",F20="F"),"0:00",
IF(
OR(
AND(Masterdata!$B$4&lt;&gt;DATE(1900,1,0),Masterdata!$B$4&lt;$E20),
AND(Masterdata!$B$3&lt;&gt;DATE(1900,1,0),Masterdata!$B$3&gt;$E20)
),"0:00",
IF(
$I20&gt;TIME(0,0,0),
IF(
NOT(OR($C20="mandag",$C20="tirsdag",$C20="onsdag",$C20="torsdag",$C20="fredag")),
TEXT($I20,"[tt]:mm"),
IF($I20-$G20&gt;=0,TEXT($I20-$G20,"[tt]:mm"),"-"&amp;TEXT(ABS($I20-$G20),"[tt]:mm"))
),
IF(
NOT(OR($C20="mandag",$C20="tirsdag",$C20="onsdag",$C20="torsdag",$C20="fredag")),
IF($K20-$J20&gt;=0,TEXT($K20-$J20,"[tt]:mm"),"-"&amp;TEXT(ABS($K20-$J20),"[tt]:mm")),
IF(
$K20-$J20-$G20&gt;=0,
TEXT($K20-$J20-$G20,"[tt]:mm"),
"-"&amp;TEXT(ABS($K20-$J20-$G20),"[tt]:mm")
)
)
)
))</f>
        <v>0:00</v>
      </c>
      <c r="N20" s="21" t="str">
        <f t="shared" si="4"/>
        <v>0</v>
      </c>
      <c r="O20" s="25" t="str">
        <f t="shared" si="5"/>
        <v>0:</v>
      </c>
      <c r="P20" s="20" t="str">
        <f t="shared" si="6"/>
        <v>0</v>
      </c>
      <c r="Q20" s="24">
        <f t="shared" si="10"/>
        <v>0</v>
      </c>
      <c r="R20" s="2">
        <f t="shared" si="11"/>
        <v>0</v>
      </c>
      <c r="S20" s="98"/>
      <c r="T20" s="98"/>
    </row>
    <row r="21" spans="1:24" x14ac:dyDescent="0.3">
      <c r="A21" s="7">
        <f t="shared" si="2"/>
        <v>7</v>
      </c>
      <c r="B21" s="8">
        <f t="shared" si="9"/>
        <v>46066</v>
      </c>
      <c r="C21" s="9" t="str" cm="1">
        <f t="array" ref="C21">_xlfn.XLOOKUP(E21,Masterdata!$B$31:$B$44,Masterdata!$A$31:$A$44,_xlfn.SWITCH(WEEKDAY($D21, 2), 1, "mandag", 2, "tirsdag", 3, "onsdag", 4, "torsdag", 5, "fredag", 6, "lørdag", 7, "søndag"),0)</f>
        <v>fredag</v>
      </c>
      <c r="D21">
        <f t="shared" si="0"/>
        <v>6</v>
      </c>
      <c r="E21" s="19">
        <f t="shared" si="3"/>
        <v>46066</v>
      </c>
      <c r="F21" s="10" t="s">
        <v>23</v>
      </c>
      <c r="G21" s="12">
        <f>IF(OR(AND(F21="N",NOT(OR(C21="mandag",C21="tirsdag",C21="onsdag",C21="torsdag",C21="fredag"))),F21="F"),0,
        IF(OR(
            AND(Masterdata!$B$4&lt;&gt;DATE(1900,1,0), Masterdata!$B$4&lt;$E21),
            AND(Masterdata!$B$3&lt;&gt;DATE(1900,1,0), Masterdata!$B$3&gt;$E21)
        ),
        0, $X$7/(5-H21)))</f>
        <v>0.30833333333333335</v>
      </c>
      <c r="H21" s="86">
        <f>SUMPRODUCT(COUNTIFS(Januar!$A$9:$A$39,$A21,Januar!$D$9:$D$39,"&lt;7",Januar!$F$9:$F$39,"F")+COUNTIFS($A$9:$A$38,$A21,$D$9:$D$38,"&lt;7",$F$9:$F$38,"F")+COUNTIFS(Marts!$A$9:$A$39,$A21,Marts!$D$9:$D$39,"&lt;7",Marts!$F$9:$F$39,"F"))</f>
        <v>0</v>
      </c>
      <c r="I21" s="11">
        <v>0</v>
      </c>
      <c r="J21" s="11">
        <v>0</v>
      </c>
      <c r="K21" s="11">
        <v>0</v>
      </c>
      <c r="L21" s="26" t="str">
        <f t="shared" si="1"/>
        <v>07:24</v>
      </c>
      <c r="M21" s="26" t="str">
        <f>IF(OR(F21="N",F21="F"),"0:00",
IF(
OR(
AND(Masterdata!$B$4&lt;&gt;DATE(1900,1,0),Masterdata!$B$4&lt;$E21),
AND(Masterdata!$B$3&lt;&gt;DATE(1900,1,0),Masterdata!$B$3&gt;$E21)
),"0:00",
IF(
$I21&gt;TIME(0,0,0),
IF(
NOT(OR($C21="mandag",$C21="tirsdag",$C21="onsdag",$C21="torsdag",$C21="fredag")),
TEXT($I21,"[tt]:mm"),
IF($I21-$G21&gt;=0,TEXT($I21-$G21,"[tt]:mm"),"-"&amp;TEXT(ABS($I21-$G21),"[tt]:mm"))
),
IF(
NOT(OR($C21="mandag",$C21="tirsdag",$C21="onsdag",$C21="torsdag",$C21="fredag")),
IF($K21-$J21&gt;=0,TEXT($K21-$J21,"[tt]:mm"),"-"&amp;TEXT(ABS($K21-$J21),"[tt]:mm")),
IF(
$K21-$J21-$G21&gt;=0,
TEXT($K21-$J21-$G21,"[tt]:mm"),
"-"&amp;TEXT(ABS($K21-$J21-$G21),"[tt]:mm")
)
)
)
))</f>
        <v>0:00</v>
      </c>
      <c r="N21" s="21" t="str">
        <f>LEFT(M21,1)</f>
        <v>0</v>
      </c>
      <c r="O21" s="25" t="str">
        <f t="shared" si="5"/>
        <v>0:</v>
      </c>
      <c r="P21" s="20" t="str">
        <f t="shared" si="6"/>
        <v>0</v>
      </c>
      <c r="Q21" s="24">
        <f t="shared" si="10"/>
        <v>0</v>
      </c>
      <c r="R21" s="2">
        <f>IF(N21="-",O21-Q21,O21+Q21)</f>
        <v>0</v>
      </c>
      <c r="S21" s="98"/>
      <c r="T21" s="98"/>
    </row>
    <row r="22" spans="1:24" x14ac:dyDescent="0.3">
      <c r="A22" s="7">
        <f t="shared" si="2"/>
        <v>7</v>
      </c>
      <c r="B22" s="8">
        <f t="shared" si="9"/>
        <v>46067</v>
      </c>
      <c r="C22" s="9" t="str" cm="1">
        <f t="array" ref="C22">_xlfn.XLOOKUP(E22,Masterdata!$B$31:$B$44,Masterdata!$A$31:$A$44,_xlfn.SWITCH(WEEKDAY($D22, 2), 1, "mandag", 2, "tirsdag", 3, "onsdag", 4, "torsdag", 5, "fredag", 6, "lørdag", 7, "søndag"),0)</f>
        <v>lørdag</v>
      </c>
      <c r="D22">
        <f t="shared" si="0"/>
        <v>7</v>
      </c>
      <c r="E22" s="19">
        <f t="shared" si="3"/>
        <v>46067</v>
      </c>
      <c r="F22" s="10" t="s">
        <v>23</v>
      </c>
      <c r="G22" s="12">
        <f>IF(OR(AND(F22="N",NOT(OR(C22="mandag",C22="tirsdag",C22="onsdag",C22="torsdag",C22="fredag"))),F22="F"),0,
        IF(OR(
            AND(Masterdata!$B$4&lt;&gt;DATE(1900,1,0), Masterdata!$B$4&lt;$E22),
            AND(Masterdata!$B$3&lt;&gt;DATE(1900,1,0), Masterdata!$B$3&gt;$E22)
        ),
        0, $X$7/(5-H22)))</f>
        <v>0</v>
      </c>
      <c r="H22" s="86">
        <f>SUMPRODUCT(COUNTIFS(Januar!$A$9:$A$39,$A22,Januar!$D$9:$D$39,"&lt;7",Januar!$F$9:$F$39,"F")+COUNTIFS($A$9:$A$38,$A22,$D$9:$D$38,"&lt;7",$F$9:$F$38,"F")+COUNTIFS(Marts!$A$9:$A$39,$A22,Marts!$D$9:$D$39,"&lt;7",Marts!$F$9:$F$39,"F"))</f>
        <v>0</v>
      </c>
      <c r="I22" s="11">
        <v>0</v>
      </c>
      <c r="J22" s="11">
        <v>0</v>
      </c>
      <c r="K22" s="11">
        <v>0</v>
      </c>
      <c r="L22" s="26" t="str">
        <f t="shared" si="1"/>
        <v>00:00</v>
      </c>
      <c r="M22" s="26" t="str">
        <f>IF(OR(F22="N",F22="F"),"0:00",
IF(
OR(
AND(Masterdata!$B$4&lt;&gt;DATE(1900,1,0),Masterdata!$B$4&lt;$E22),
AND(Masterdata!$B$3&lt;&gt;DATE(1900,1,0),Masterdata!$B$3&gt;$E22)
),"0:00",
IF(
$I22&gt;TIME(0,0,0),
IF(
NOT(OR($C22="mandag",$C22="tirsdag",$C22="onsdag",$C22="torsdag",$C22="fredag")),
TEXT($I22,"[tt]:mm"),
IF($I22-$G22&gt;=0,TEXT($I22-$G22,"[tt]:mm"),"-"&amp;TEXT(ABS($I22-$G22),"[tt]:mm"))
),
IF(
NOT(OR($C22="mandag",$C22="tirsdag",$C22="onsdag",$C22="torsdag",$C22="fredag")),
IF($K22-$J22&gt;=0,TEXT($K22-$J22,"[tt]:mm"),"-"&amp;TEXT(ABS($K22-$J22),"[tt]:mm")),
IF(
$K22-$J22-$G22&gt;=0,
TEXT($K22-$J22-$G22,"[tt]:mm"),
"-"&amp;TEXT(ABS($K22-$J22-$G22),"[tt]:mm")
)
)
)
))</f>
        <v>0:00</v>
      </c>
      <c r="N22" s="21" t="str">
        <f t="shared" ref="N22:N36" si="12">LEFT(M22,1)</f>
        <v>0</v>
      </c>
      <c r="O22" s="25" t="str">
        <f t="shared" si="5"/>
        <v>0:</v>
      </c>
      <c r="P22" s="20" t="str">
        <f t="shared" si="6"/>
        <v>0</v>
      </c>
      <c r="Q22" s="24">
        <f t="shared" si="10"/>
        <v>0</v>
      </c>
      <c r="R22" s="2">
        <f t="shared" ref="R22:R36" si="13">IF(N22="-",O22-Q22,O22+Q22)</f>
        <v>0</v>
      </c>
      <c r="S22" s="98"/>
      <c r="T22" s="98"/>
    </row>
    <row r="23" spans="1:24" x14ac:dyDescent="0.3">
      <c r="A23" s="7">
        <f t="shared" si="2"/>
        <v>7</v>
      </c>
      <c r="B23" s="8">
        <f t="shared" si="9"/>
        <v>46068</v>
      </c>
      <c r="C23" s="9" t="str" cm="1">
        <f t="array" ref="C23">_xlfn.XLOOKUP(E23,Masterdata!$B$31:$B$44,Masterdata!$A$31:$A$44,_xlfn.SWITCH(WEEKDAY($D23, 2), 1, "mandag", 2, "tirsdag", 3, "onsdag", 4, "torsdag", 5, "fredag", 6, "lørdag", 7, "søndag"),0)</f>
        <v>søndag</v>
      </c>
      <c r="D23">
        <f t="shared" si="0"/>
        <v>8</v>
      </c>
      <c r="E23" s="19">
        <f t="shared" si="3"/>
        <v>46068</v>
      </c>
      <c r="F23" s="10" t="s">
        <v>23</v>
      </c>
      <c r="G23" s="12">
        <f>IF(OR(AND(F23="N",NOT(OR(C23="mandag",C23="tirsdag",C23="onsdag",C23="torsdag",C23="fredag"))),F23="F"),0,
        IF(OR(
            AND(Masterdata!$B$4&lt;&gt;DATE(1900,1,0), Masterdata!$B$4&lt;$E23),
            AND(Masterdata!$B$3&lt;&gt;DATE(1900,1,0), Masterdata!$B$3&gt;$E23)
        ),
        0, $X$7/(5-H23)))</f>
        <v>0</v>
      </c>
      <c r="H23" s="86">
        <f>SUMPRODUCT(COUNTIFS(Januar!$A$9:$A$39,$A23,Januar!$D$9:$D$39,"&lt;7",Januar!$F$9:$F$39,"F")+COUNTIFS($A$9:$A$38,$A23,$D$9:$D$38,"&lt;7",$F$9:$F$38,"F")+COUNTIFS(Marts!$A$9:$A$39,$A23,Marts!$D$9:$D$39,"&lt;7",Marts!$F$9:$F$39,"F"))</f>
        <v>0</v>
      </c>
      <c r="I23" s="11">
        <v>0</v>
      </c>
      <c r="J23" s="11">
        <v>0</v>
      </c>
      <c r="K23" s="11">
        <v>0</v>
      </c>
      <c r="L23" s="26" t="str">
        <f t="shared" si="1"/>
        <v>00:00</v>
      </c>
      <c r="M23" s="26" t="str">
        <f>IF(OR(F23="N",F23="F"),"0:00",
IF(
OR(
AND(Masterdata!$B$4&lt;&gt;DATE(1900,1,0),Masterdata!$B$4&lt;$E23),
AND(Masterdata!$B$3&lt;&gt;DATE(1900,1,0),Masterdata!$B$3&gt;$E23)
),"0:00",
IF(
$I23&gt;TIME(0,0,0),
IF(
NOT(OR($C23="mandag",$C23="tirsdag",$C23="onsdag",$C23="torsdag",$C23="fredag")),
TEXT($I23,"[tt]:mm"),
IF($I23-$G23&gt;=0,TEXT($I23-$G23,"[tt]:mm"),"-"&amp;TEXT(ABS($I23-$G23),"[tt]:mm"))
),
IF(
NOT(OR($C23="mandag",$C23="tirsdag",$C23="onsdag",$C23="torsdag",$C23="fredag")),
IF($K23-$J23&gt;=0,TEXT($K23-$J23,"[tt]:mm"),"-"&amp;TEXT(ABS($K23-$J23),"[tt]:mm")),
IF(
$K23-$J23-$G23&gt;=0,
TEXT($K23-$J23-$G23,"[tt]:mm"),
"-"&amp;TEXT(ABS($K23-$J23-$G23),"[tt]:mm")
)
)
)
))</f>
        <v>0:00</v>
      </c>
      <c r="N23" s="21" t="str">
        <f t="shared" si="12"/>
        <v>0</v>
      </c>
      <c r="O23" s="25" t="str">
        <f t="shared" si="5"/>
        <v>0:</v>
      </c>
      <c r="P23" s="20" t="str">
        <f t="shared" si="6"/>
        <v>0</v>
      </c>
      <c r="Q23" s="24">
        <f t="shared" si="10"/>
        <v>0</v>
      </c>
      <c r="R23" s="2">
        <f t="shared" si="13"/>
        <v>0</v>
      </c>
      <c r="S23" s="98"/>
      <c r="T23" s="98"/>
      <c r="W23" s="29" t="s">
        <v>124</v>
      </c>
    </row>
    <row r="24" spans="1:24" x14ac:dyDescent="0.3">
      <c r="A24" s="7">
        <f t="shared" si="2"/>
        <v>8</v>
      </c>
      <c r="B24" s="8">
        <f t="shared" si="9"/>
        <v>46069</v>
      </c>
      <c r="C24" s="9" t="str" cm="1">
        <f t="array" ref="C24">_xlfn.XLOOKUP(E24,Masterdata!$B$31:$B$44,Masterdata!$A$31:$A$44,_xlfn.SWITCH(WEEKDAY($D24, 2), 1, "mandag", 2, "tirsdag", 3, "onsdag", 4, "torsdag", 5, "fredag", 6, "lørdag", 7, "søndag"),0)</f>
        <v>mandag</v>
      </c>
      <c r="D24">
        <f t="shared" si="0"/>
        <v>2</v>
      </c>
      <c r="E24" s="19">
        <f t="shared" si="3"/>
        <v>46069</v>
      </c>
      <c r="F24" s="10" t="s">
        <v>23</v>
      </c>
      <c r="G24" s="12">
        <f>IF(OR(AND(F24="N",NOT(OR(C24="mandag",C24="tirsdag",C24="onsdag",C24="torsdag",C24="fredag"))),F24="F"),0,
        IF(OR(
            AND(Masterdata!$B$4&lt;&gt;DATE(1900,1,0), Masterdata!$B$4&lt;$E24),
            AND(Masterdata!$B$3&lt;&gt;DATE(1900,1,0), Masterdata!$B$3&gt;$E24)
        ),
        0, $X$7/(5-H24)))</f>
        <v>0.30833333333333335</v>
      </c>
      <c r="H24" s="86">
        <f>SUMPRODUCT(COUNTIFS(Januar!$A$9:$A$39,$A24,Januar!$D$9:$D$39,"&lt;7",Januar!$F$9:$F$39,"F")+COUNTIFS($A$9:$A$38,$A24,$D$9:$D$38,"&lt;7",$F$9:$F$38,"F")+COUNTIFS(Marts!$A$9:$A$39,$A24,Marts!$D$9:$D$39,"&lt;7",Marts!$F$9:$F$39,"F"))</f>
        <v>0</v>
      </c>
      <c r="I24" s="11">
        <v>0</v>
      </c>
      <c r="J24" s="11">
        <v>0</v>
      </c>
      <c r="K24" s="11">
        <v>0</v>
      </c>
      <c r="L24" s="26" t="str">
        <f t="shared" si="1"/>
        <v>07:24</v>
      </c>
      <c r="M24" s="26" t="str">
        <f>IF(OR(F24="N",F24="F"),"0:00",
IF(
OR(
AND(Masterdata!$B$4&lt;&gt;DATE(1900,1,0),Masterdata!$B$4&lt;$E24),
AND(Masterdata!$B$3&lt;&gt;DATE(1900,1,0),Masterdata!$B$3&gt;$E24)
),"0:00",
IF(
$I24&gt;TIME(0,0,0),
IF(
NOT(OR($C24="mandag",$C24="tirsdag",$C24="onsdag",$C24="torsdag",$C24="fredag")),
TEXT($I24,"[tt]:mm"),
IF($I24-$G24&gt;=0,TEXT($I24-$G24,"[tt]:mm"),"-"&amp;TEXT(ABS($I24-$G24),"[tt]:mm"))
),
IF(
NOT(OR($C24="mandag",$C24="tirsdag",$C24="onsdag",$C24="torsdag",$C24="fredag")),
IF($K24-$J24&gt;=0,TEXT($K24-$J24,"[tt]:mm"),"-"&amp;TEXT(ABS($K24-$J24),"[tt]:mm")),
IF(
$K24-$J24-$G24&gt;=0,
TEXT($K24-$J24-$G24,"[tt]:mm"),
"-"&amp;TEXT(ABS($K24-$J24-$G24),"[tt]:mm")
)
)
)
))</f>
        <v>0:00</v>
      </c>
      <c r="N24" s="21" t="str">
        <f t="shared" si="12"/>
        <v>0</v>
      </c>
      <c r="O24" s="25" t="str">
        <f t="shared" si="5"/>
        <v>0:</v>
      </c>
      <c r="P24" s="20" t="str">
        <f t="shared" si="6"/>
        <v>0</v>
      </c>
      <c r="Q24" s="24">
        <f t="shared" si="10"/>
        <v>0</v>
      </c>
      <c r="R24" s="2">
        <f t="shared" si="13"/>
        <v>0</v>
      </c>
      <c r="S24" s="98"/>
      <c r="T24" s="98"/>
      <c r="W24" s="29" t="s">
        <v>125</v>
      </c>
    </row>
    <row r="25" spans="1:24" x14ac:dyDescent="0.3">
      <c r="A25" s="7">
        <f t="shared" si="2"/>
        <v>8</v>
      </c>
      <c r="B25" s="8">
        <f t="shared" si="9"/>
        <v>46070</v>
      </c>
      <c r="C25" s="9" t="str" cm="1">
        <f t="array" ref="C25">_xlfn.XLOOKUP(E25,Masterdata!$B$31:$B$44,Masterdata!$A$31:$A$44,_xlfn.SWITCH(WEEKDAY($D25, 2), 1, "mandag", 2, "tirsdag", 3, "onsdag", 4, "torsdag", 5, "fredag", 6, "lørdag", 7, "søndag"),0)</f>
        <v>tirsdag</v>
      </c>
      <c r="D25">
        <f t="shared" si="0"/>
        <v>3</v>
      </c>
      <c r="E25" s="19">
        <f t="shared" si="3"/>
        <v>46070</v>
      </c>
      <c r="F25" s="10" t="s">
        <v>23</v>
      </c>
      <c r="G25" s="12">
        <f>IF(OR(AND(F25="N",NOT(OR(C25="mandag",C25="tirsdag",C25="onsdag",C25="torsdag",C25="fredag"))),F25="F"),0,
        IF(OR(
            AND(Masterdata!$B$4&lt;&gt;DATE(1900,1,0), Masterdata!$B$4&lt;$E25),
            AND(Masterdata!$B$3&lt;&gt;DATE(1900,1,0), Masterdata!$B$3&gt;$E25)
        ),
        0, $X$7/(5-H25)))</f>
        <v>0.30833333333333335</v>
      </c>
      <c r="H25" s="86">
        <f>SUMPRODUCT(COUNTIFS(Januar!$A$9:$A$39,$A25,Januar!$D$9:$D$39,"&lt;7",Januar!$F$9:$F$39,"F")+COUNTIFS($A$9:$A$38,$A25,$D$9:$D$38,"&lt;7",$F$9:$F$38,"F")+COUNTIFS(Marts!$A$9:$A$39,$A25,Marts!$D$9:$D$39,"&lt;7",Marts!$F$9:$F$39,"F"))</f>
        <v>0</v>
      </c>
      <c r="I25" s="11">
        <v>0</v>
      </c>
      <c r="J25" s="11">
        <v>0</v>
      </c>
      <c r="K25" s="11">
        <v>0</v>
      </c>
      <c r="L25" s="26" t="str">
        <f t="shared" si="1"/>
        <v>07:24</v>
      </c>
      <c r="M25" s="26" t="str">
        <f>IF(OR(F25="N",F25="F"),"0:00",
IF(
OR(
AND(Masterdata!$B$4&lt;&gt;DATE(1900,1,0),Masterdata!$B$4&lt;$E25),
AND(Masterdata!$B$3&lt;&gt;DATE(1900,1,0),Masterdata!$B$3&gt;$E25)
),"0:00",
IF(
$I25&gt;TIME(0,0,0),
IF(
NOT(OR($C25="mandag",$C25="tirsdag",$C25="onsdag",$C25="torsdag",$C25="fredag")),
TEXT($I25,"[tt]:mm"),
IF($I25-$G25&gt;=0,TEXT($I25-$G25,"[tt]:mm"),"-"&amp;TEXT(ABS($I25-$G25),"[tt]:mm"))
),
IF(
NOT(OR($C25="mandag",$C25="tirsdag",$C25="onsdag",$C25="torsdag",$C25="fredag")),
IF($K25-$J25&gt;=0,TEXT($K25-$J25,"[tt]:mm"),"-"&amp;TEXT(ABS($K25-$J25),"[tt]:mm")),
IF(
$K25-$J25-$G25&gt;=0,
TEXT($K25-$J25-$G25,"[tt]:mm"),
"-"&amp;TEXT(ABS($K25-$J25-$G25),"[tt]:mm")
)
)
)
))</f>
        <v>0:00</v>
      </c>
      <c r="N25" s="21" t="str">
        <f t="shared" si="12"/>
        <v>0</v>
      </c>
      <c r="O25" s="25" t="str">
        <f t="shared" si="5"/>
        <v>0:</v>
      </c>
      <c r="P25" s="20" t="str">
        <f t="shared" si="6"/>
        <v>0</v>
      </c>
      <c r="Q25" s="24">
        <f t="shared" si="10"/>
        <v>0</v>
      </c>
      <c r="R25" s="2">
        <f t="shared" si="13"/>
        <v>0</v>
      </c>
      <c r="S25" s="98"/>
      <c r="T25" s="98"/>
      <c r="W25" s="29" t="s">
        <v>126</v>
      </c>
    </row>
    <row r="26" spans="1:24" x14ac:dyDescent="0.3">
      <c r="A26" s="7">
        <f t="shared" si="2"/>
        <v>8</v>
      </c>
      <c r="B26" s="8">
        <f t="shared" si="9"/>
        <v>46071</v>
      </c>
      <c r="C26" s="9" t="str" cm="1">
        <f t="array" ref="C26">_xlfn.XLOOKUP(E26,Masterdata!$B$31:$B$44,Masterdata!$A$31:$A$44,_xlfn.SWITCH(WEEKDAY($D26, 2), 1, "mandag", 2, "tirsdag", 3, "onsdag", 4, "torsdag", 5, "fredag", 6, "lørdag", 7, "søndag"),0)</f>
        <v>onsdag</v>
      </c>
      <c r="D26">
        <f t="shared" si="0"/>
        <v>4</v>
      </c>
      <c r="E26" s="19">
        <f t="shared" si="3"/>
        <v>46071</v>
      </c>
      <c r="F26" s="10" t="s">
        <v>23</v>
      </c>
      <c r="G26" s="12">
        <f>IF(OR(AND(F26="N",NOT(OR(C26="mandag",C26="tirsdag",C26="onsdag",C26="torsdag",C26="fredag"))),F26="F"),0,
        IF(OR(
            AND(Masterdata!$B$4&lt;&gt;DATE(1900,1,0), Masterdata!$B$4&lt;$E26),
            AND(Masterdata!$B$3&lt;&gt;DATE(1900,1,0), Masterdata!$B$3&gt;$E26)
        ),
        0, $X$7/(5-H26)))</f>
        <v>0.30833333333333335</v>
      </c>
      <c r="H26" s="86">
        <f>SUMPRODUCT(COUNTIFS(Januar!$A$9:$A$39,$A26,Januar!$D$9:$D$39,"&lt;7",Januar!$F$9:$F$39,"F")+COUNTIFS($A$9:$A$38,$A26,$D$9:$D$38,"&lt;7",$F$9:$F$38,"F")+COUNTIFS(Marts!$A$9:$A$39,$A26,Marts!$D$9:$D$39,"&lt;7",Marts!$F$9:$F$39,"F"))</f>
        <v>0</v>
      </c>
      <c r="I26" s="11">
        <v>0</v>
      </c>
      <c r="J26" s="11">
        <v>0</v>
      </c>
      <c r="K26" s="11">
        <v>0</v>
      </c>
      <c r="L26" s="26" t="str">
        <f t="shared" si="1"/>
        <v>07:24</v>
      </c>
      <c r="M26" s="26" t="str">
        <f>IF(OR(F26="N",F26="F"),"0:00",
IF(
OR(
AND(Masterdata!$B$4&lt;&gt;DATE(1900,1,0),Masterdata!$B$4&lt;$E26),
AND(Masterdata!$B$3&lt;&gt;DATE(1900,1,0),Masterdata!$B$3&gt;$E26)
),"0:00",
IF(
$I26&gt;TIME(0,0,0),
IF(
NOT(OR($C26="mandag",$C26="tirsdag",$C26="onsdag",$C26="torsdag",$C26="fredag")),
TEXT($I26,"[tt]:mm"),
IF($I26-$G26&gt;=0,TEXT($I26-$G26,"[tt]:mm"),"-"&amp;TEXT(ABS($I26-$G26),"[tt]:mm"))
),
IF(
NOT(OR($C26="mandag",$C26="tirsdag",$C26="onsdag",$C26="torsdag",$C26="fredag")),
IF($K26-$J26&gt;=0,TEXT($K26-$J26,"[tt]:mm"),"-"&amp;TEXT(ABS($K26-$J26),"[tt]:mm")),
IF(
$K26-$J26-$G26&gt;=0,
TEXT($K26-$J26-$G26,"[tt]:mm"),
"-"&amp;TEXT(ABS($K26-$J26-$G26),"[tt]:mm")
)
)
)
))</f>
        <v>0:00</v>
      </c>
      <c r="N26" s="21" t="str">
        <f t="shared" si="12"/>
        <v>0</v>
      </c>
      <c r="O26" s="25" t="str">
        <f t="shared" si="5"/>
        <v>0:</v>
      </c>
      <c r="P26" s="20" t="str">
        <f t="shared" si="6"/>
        <v>0</v>
      </c>
      <c r="Q26" s="24">
        <f t="shared" si="10"/>
        <v>0</v>
      </c>
      <c r="R26" s="2">
        <f t="shared" si="13"/>
        <v>0</v>
      </c>
      <c r="S26" s="98"/>
      <c r="T26" s="98"/>
      <c r="W26" s="29" t="s">
        <v>127</v>
      </c>
    </row>
    <row r="27" spans="1:24" x14ac:dyDescent="0.3">
      <c r="A27" s="7">
        <f t="shared" si="2"/>
        <v>8</v>
      </c>
      <c r="B27" s="8">
        <f t="shared" si="9"/>
        <v>46072</v>
      </c>
      <c r="C27" s="9" t="str" cm="1">
        <f t="array" ref="C27">_xlfn.XLOOKUP(E27,Masterdata!$B$31:$B$44,Masterdata!$A$31:$A$44,_xlfn.SWITCH(WEEKDAY($D27, 2), 1, "mandag", 2, "tirsdag", 3, "onsdag", 4, "torsdag", 5, "fredag", 6, "lørdag", 7, "søndag"),0)</f>
        <v>torsdag</v>
      </c>
      <c r="D27">
        <f t="shared" si="0"/>
        <v>5</v>
      </c>
      <c r="E27" s="19">
        <f t="shared" si="3"/>
        <v>46072</v>
      </c>
      <c r="F27" s="10" t="s">
        <v>23</v>
      </c>
      <c r="G27" s="12">
        <f>IF(OR(AND(F27="N",NOT(OR(C27="mandag",C27="tirsdag",C27="onsdag",C27="torsdag",C27="fredag"))),F27="F"),0,
        IF(OR(
            AND(Masterdata!$B$4&lt;&gt;DATE(1900,1,0), Masterdata!$B$4&lt;$E27),
            AND(Masterdata!$B$3&lt;&gt;DATE(1900,1,0), Masterdata!$B$3&gt;$E27)
        ),
        0, $X$7/(5-H27)))</f>
        <v>0.30833333333333335</v>
      </c>
      <c r="H27" s="86">
        <f>SUMPRODUCT(COUNTIFS(Januar!$A$9:$A$39,$A27,Januar!$D$9:$D$39,"&lt;7",Januar!$F$9:$F$39,"F")+COUNTIFS($A$9:$A$38,$A27,$D$9:$D$38,"&lt;7",$F$9:$F$38,"F")+COUNTIFS(Marts!$A$9:$A$39,$A27,Marts!$D$9:$D$39,"&lt;7",Marts!$F$9:$F$39,"F"))</f>
        <v>0</v>
      </c>
      <c r="I27" s="11">
        <v>0</v>
      </c>
      <c r="J27" s="11">
        <v>0</v>
      </c>
      <c r="K27" s="11">
        <v>0</v>
      </c>
      <c r="L27" s="26" t="str">
        <f t="shared" si="1"/>
        <v>07:24</v>
      </c>
      <c r="M27" s="26" t="str">
        <f>IF(OR(F27="N",F27="F"),"0:00",
IF(
OR(
AND(Masterdata!$B$4&lt;&gt;DATE(1900,1,0),Masterdata!$B$4&lt;$E27),
AND(Masterdata!$B$3&lt;&gt;DATE(1900,1,0),Masterdata!$B$3&gt;$E27)
),"0:00",
IF(
$I27&gt;TIME(0,0,0),
IF(
NOT(OR($C27="mandag",$C27="tirsdag",$C27="onsdag",$C27="torsdag",$C27="fredag")),
TEXT($I27,"[tt]:mm"),
IF($I27-$G27&gt;=0,TEXT($I27-$G27,"[tt]:mm"),"-"&amp;TEXT(ABS($I27-$G27),"[tt]:mm"))
),
IF(
NOT(OR($C27="mandag",$C27="tirsdag",$C27="onsdag",$C27="torsdag",$C27="fredag")),
IF($K27-$J27&gt;=0,TEXT($K27-$J27,"[tt]:mm"),"-"&amp;TEXT(ABS($K27-$J27),"[tt]:mm")),
IF(
$K27-$J27-$G27&gt;=0,
TEXT($K27-$J27-$G27,"[tt]:mm"),
"-"&amp;TEXT(ABS($K27-$J27-$G27),"[tt]:mm")
)
)
)
))</f>
        <v>0:00</v>
      </c>
      <c r="N27" s="21" t="str">
        <f t="shared" si="12"/>
        <v>0</v>
      </c>
      <c r="O27" s="25" t="str">
        <f t="shared" si="5"/>
        <v>0:</v>
      </c>
      <c r="P27" s="20" t="str">
        <f t="shared" si="6"/>
        <v>0</v>
      </c>
      <c r="Q27" s="24">
        <f t="shared" si="10"/>
        <v>0</v>
      </c>
      <c r="R27" s="2">
        <f t="shared" si="13"/>
        <v>0</v>
      </c>
      <c r="S27" s="98"/>
      <c r="T27" s="98"/>
      <c r="W27" s="29" t="s">
        <v>128</v>
      </c>
    </row>
    <row r="28" spans="1:24" x14ac:dyDescent="0.3">
      <c r="A28" s="7">
        <f t="shared" si="2"/>
        <v>8</v>
      </c>
      <c r="B28" s="8">
        <f t="shared" si="9"/>
        <v>46073</v>
      </c>
      <c r="C28" s="9" t="str" cm="1">
        <f t="array" ref="C28">_xlfn.XLOOKUP(E28,Masterdata!$B$31:$B$44,Masterdata!$A$31:$A$44,_xlfn.SWITCH(WEEKDAY($D28, 2), 1, "mandag", 2, "tirsdag", 3, "onsdag", 4, "torsdag", 5, "fredag", 6, "lørdag", 7, "søndag"),0)</f>
        <v>fredag</v>
      </c>
      <c r="D28">
        <f t="shared" si="0"/>
        <v>6</v>
      </c>
      <c r="E28" s="19">
        <f t="shared" si="3"/>
        <v>46073</v>
      </c>
      <c r="F28" s="10" t="s">
        <v>23</v>
      </c>
      <c r="G28" s="12">
        <f>IF(OR(AND(F28="N",NOT(OR(C28="mandag",C28="tirsdag",C28="onsdag",C28="torsdag",C28="fredag"))),F28="F"),0,
        IF(OR(
            AND(Masterdata!$B$4&lt;&gt;DATE(1900,1,0), Masterdata!$B$4&lt;$E28),
            AND(Masterdata!$B$3&lt;&gt;DATE(1900,1,0), Masterdata!$B$3&gt;$E28)
        ),
        0, $X$7/(5-H28)))</f>
        <v>0.30833333333333335</v>
      </c>
      <c r="H28" s="86">
        <f>SUMPRODUCT(COUNTIFS(Januar!$A$9:$A$39,$A28,Januar!$D$9:$D$39,"&lt;7",Januar!$F$9:$F$39,"F")+COUNTIFS($A$9:$A$38,$A28,$D$9:$D$38,"&lt;7",$F$9:$F$38,"F")+COUNTIFS(Marts!$A$9:$A$39,$A28,Marts!$D$9:$D$39,"&lt;7",Marts!$F$9:$F$39,"F"))</f>
        <v>0</v>
      </c>
      <c r="I28" s="11">
        <v>0</v>
      </c>
      <c r="J28" s="11">
        <v>0</v>
      </c>
      <c r="K28" s="11">
        <v>0</v>
      </c>
      <c r="L28" s="26" t="str">
        <f t="shared" si="1"/>
        <v>07:24</v>
      </c>
      <c r="M28" s="26" t="str">
        <f>IF(OR(F28="N",F28="F"),"0:00",
IF(
OR(
AND(Masterdata!$B$4&lt;&gt;DATE(1900,1,0),Masterdata!$B$4&lt;$E28),
AND(Masterdata!$B$3&lt;&gt;DATE(1900,1,0),Masterdata!$B$3&gt;$E28)
),"0:00",
IF(
$I28&gt;TIME(0,0,0),
IF(
NOT(OR($C28="mandag",$C28="tirsdag",$C28="onsdag",$C28="torsdag",$C28="fredag")),
TEXT($I28,"[tt]:mm"),
IF($I28-$G28&gt;=0,TEXT($I28-$G28,"[tt]:mm"),"-"&amp;TEXT(ABS($I28-$G28),"[tt]:mm"))
),
IF(
NOT(OR($C28="mandag",$C28="tirsdag",$C28="onsdag",$C28="torsdag",$C28="fredag")),
IF($K28-$J28&gt;=0,TEXT($K28-$J28,"[tt]:mm"),"-"&amp;TEXT(ABS($K28-$J28),"[tt]:mm")),
IF(
$K28-$J28-$G28&gt;=0,
TEXT($K28-$J28-$G28,"[tt]:mm"),
"-"&amp;TEXT(ABS($K28-$J28-$G28),"[tt]:mm")
)
)
)
))</f>
        <v>0:00</v>
      </c>
      <c r="N28" s="21" t="str">
        <f t="shared" si="12"/>
        <v>0</v>
      </c>
      <c r="O28" s="25" t="str">
        <f t="shared" si="5"/>
        <v>0:</v>
      </c>
      <c r="P28" s="20" t="str">
        <f t="shared" si="6"/>
        <v>0</v>
      </c>
      <c r="Q28" s="24">
        <f t="shared" si="10"/>
        <v>0</v>
      </c>
      <c r="R28" s="2">
        <f t="shared" si="13"/>
        <v>0</v>
      </c>
      <c r="S28" s="98"/>
      <c r="T28" s="98"/>
    </row>
    <row r="29" spans="1:24" x14ac:dyDescent="0.3">
      <c r="A29" s="7">
        <f t="shared" si="2"/>
        <v>8</v>
      </c>
      <c r="B29" s="8">
        <f t="shared" si="9"/>
        <v>46074</v>
      </c>
      <c r="C29" s="9" t="str" cm="1">
        <f t="array" ref="C29">_xlfn.XLOOKUP(E29,Masterdata!$B$31:$B$44,Masterdata!$A$31:$A$44,_xlfn.SWITCH(WEEKDAY($D29, 2), 1, "mandag", 2, "tirsdag", 3, "onsdag", 4, "torsdag", 5, "fredag", 6, "lørdag", 7, "søndag"),0)</f>
        <v>lørdag</v>
      </c>
      <c r="D29">
        <f t="shared" si="0"/>
        <v>7</v>
      </c>
      <c r="E29" s="19">
        <f t="shared" si="3"/>
        <v>46074</v>
      </c>
      <c r="F29" s="10" t="s">
        <v>23</v>
      </c>
      <c r="G29" s="12">
        <f>IF(OR(AND(F29="N",NOT(OR(C29="mandag",C29="tirsdag",C29="onsdag",C29="torsdag",C29="fredag"))),F29="F"),0,
        IF(OR(
            AND(Masterdata!$B$4&lt;&gt;DATE(1900,1,0), Masterdata!$B$4&lt;$E29),
            AND(Masterdata!$B$3&lt;&gt;DATE(1900,1,0), Masterdata!$B$3&gt;$E29)
        ),
        0, $X$7/(5-H29)))</f>
        <v>0</v>
      </c>
      <c r="H29" s="86">
        <f>SUMPRODUCT(COUNTIFS(Januar!$A$9:$A$39,$A29,Januar!$D$9:$D$39,"&lt;7",Januar!$F$9:$F$39,"F")+COUNTIFS($A$9:$A$38,$A29,$D$9:$D$38,"&lt;7",$F$9:$F$38,"F")+COUNTIFS(Marts!$A$9:$A$39,$A29,Marts!$D$9:$D$39,"&lt;7",Marts!$F$9:$F$39,"F"))</f>
        <v>0</v>
      </c>
      <c r="I29" s="11">
        <v>0</v>
      </c>
      <c r="J29" s="11">
        <v>0</v>
      </c>
      <c r="K29" s="11">
        <v>0</v>
      </c>
      <c r="L29" s="26" t="str">
        <f t="shared" si="1"/>
        <v>00:00</v>
      </c>
      <c r="M29" s="26" t="str">
        <f>IF(OR(F29="N",F29="F"),"0:00",
IF(
OR(
AND(Masterdata!$B$4&lt;&gt;DATE(1900,1,0),Masterdata!$B$4&lt;$E29),
AND(Masterdata!$B$3&lt;&gt;DATE(1900,1,0),Masterdata!$B$3&gt;$E29)
),"0:00",
IF(
$I29&gt;TIME(0,0,0),
IF(
NOT(OR($C29="mandag",$C29="tirsdag",$C29="onsdag",$C29="torsdag",$C29="fredag")),
TEXT($I29,"[tt]:mm"),
IF($I29-$G29&gt;=0,TEXT($I29-$G29,"[tt]:mm"),"-"&amp;TEXT(ABS($I29-$G29),"[tt]:mm"))
),
IF(
NOT(OR($C29="mandag",$C29="tirsdag",$C29="onsdag",$C29="torsdag",$C29="fredag")),
IF($K29-$J29&gt;=0,TEXT($K29-$J29,"[tt]:mm"),"-"&amp;TEXT(ABS($K29-$J29),"[tt]:mm")),
IF(
$K29-$J29-$G29&gt;=0,
TEXT($K29-$J29-$G29,"[tt]:mm"),
"-"&amp;TEXT(ABS($K29-$J29-$G29),"[tt]:mm")
)
)
)
))</f>
        <v>0:00</v>
      </c>
      <c r="N29" s="21" t="str">
        <f t="shared" si="12"/>
        <v>0</v>
      </c>
      <c r="O29" s="25" t="str">
        <f t="shared" si="5"/>
        <v>0:</v>
      </c>
      <c r="P29" s="20" t="str">
        <f t="shared" si="6"/>
        <v>0</v>
      </c>
      <c r="Q29" s="24">
        <f t="shared" si="10"/>
        <v>0</v>
      </c>
      <c r="R29" s="2">
        <f t="shared" si="13"/>
        <v>0</v>
      </c>
      <c r="S29" s="98"/>
      <c r="T29" s="98"/>
    </row>
    <row r="30" spans="1:24" x14ac:dyDescent="0.3">
      <c r="A30" s="7">
        <f t="shared" si="2"/>
        <v>8</v>
      </c>
      <c r="B30" s="8">
        <f t="shared" si="9"/>
        <v>46075</v>
      </c>
      <c r="C30" s="9" t="str" cm="1">
        <f t="array" ref="C30">_xlfn.XLOOKUP(E30,Masterdata!$B$31:$B$44,Masterdata!$A$31:$A$44,_xlfn.SWITCH(WEEKDAY($D30, 2), 1, "mandag", 2, "tirsdag", 3, "onsdag", 4, "torsdag", 5, "fredag", 6, "lørdag", 7, "søndag"),0)</f>
        <v>søndag</v>
      </c>
      <c r="D30">
        <f t="shared" si="0"/>
        <v>8</v>
      </c>
      <c r="E30" s="19">
        <f t="shared" si="3"/>
        <v>46075</v>
      </c>
      <c r="F30" s="10" t="s">
        <v>23</v>
      </c>
      <c r="G30" s="12">
        <f>IF(OR(AND(F30="N",NOT(OR(C30="mandag",C30="tirsdag",C30="onsdag",C30="torsdag",C30="fredag"))),F30="F"),0,
        IF(OR(
            AND(Masterdata!$B$4&lt;&gt;DATE(1900,1,0), Masterdata!$B$4&lt;$E30),
            AND(Masterdata!$B$3&lt;&gt;DATE(1900,1,0), Masterdata!$B$3&gt;$E30)
        ),
        0, $X$7/(5-H30)))</f>
        <v>0</v>
      </c>
      <c r="H30" s="86">
        <f>SUMPRODUCT(COUNTIFS(Januar!$A$9:$A$39,$A30,Januar!$D$9:$D$39,"&lt;7",Januar!$F$9:$F$39,"F")+COUNTIFS($A$9:$A$38,$A30,$D$9:$D$38,"&lt;7",$F$9:$F$38,"F")+COUNTIFS(Marts!$A$9:$A$39,$A30,Marts!$D$9:$D$39,"&lt;7",Marts!$F$9:$F$39,"F"))</f>
        <v>0</v>
      </c>
      <c r="I30" s="11">
        <v>0</v>
      </c>
      <c r="J30" s="11">
        <v>0</v>
      </c>
      <c r="K30" s="11">
        <v>0</v>
      </c>
      <c r="L30" s="26" t="str">
        <f t="shared" si="1"/>
        <v>00:00</v>
      </c>
      <c r="M30" s="26" t="str">
        <f>IF(OR(F30="N",F30="F"),"0:00",
IF(
OR(
AND(Masterdata!$B$4&lt;&gt;DATE(1900,1,0),Masterdata!$B$4&lt;$E30),
AND(Masterdata!$B$3&lt;&gt;DATE(1900,1,0),Masterdata!$B$3&gt;$E30)
),"0:00",
IF(
$I30&gt;TIME(0,0,0),
IF(
NOT(OR($C30="mandag",$C30="tirsdag",$C30="onsdag",$C30="torsdag",$C30="fredag")),
TEXT($I30,"[tt]:mm"),
IF($I30-$G30&gt;=0,TEXT($I30-$G30,"[tt]:mm"),"-"&amp;TEXT(ABS($I30-$G30),"[tt]:mm"))
),
IF(
NOT(OR($C30="mandag",$C30="tirsdag",$C30="onsdag",$C30="torsdag",$C30="fredag")),
IF($K30-$J30&gt;=0,TEXT($K30-$J30,"[tt]:mm"),"-"&amp;TEXT(ABS($K30-$J30),"[tt]:mm")),
IF(
$K30-$J30-$G30&gt;=0,
TEXT($K30-$J30-$G30,"[tt]:mm"),
"-"&amp;TEXT(ABS($K30-$J30-$G30),"[tt]:mm")
)
)
)
))</f>
        <v>0:00</v>
      </c>
      <c r="N30" s="21" t="str">
        <f t="shared" si="12"/>
        <v>0</v>
      </c>
      <c r="O30" s="25" t="str">
        <f t="shared" si="5"/>
        <v>0:</v>
      </c>
      <c r="P30" s="20" t="str">
        <f t="shared" si="6"/>
        <v>0</v>
      </c>
      <c r="Q30" s="24">
        <f t="shared" si="10"/>
        <v>0</v>
      </c>
      <c r="R30" s="2">
        <f t="shared" si="13"/>
        <v>0</v>
      </c>
      <c r="S30" s="98"/>
      <c r="T30" s="98"/>
    </row>
    <row r="31" spans="1:24" x14ac:dyDescent="0.3">
      <c r="A31" s="7">
        <f t="shared" si="2"/>
        <v>9</v>
      </c>
      <c r="B31" s="8">
        <f t="shared" si="9"/>
        <v>46076</v>
      </c>
      <c r="C31" s="9" t="str" cm="1">
        <f t="array" ref="C31">_xlfn.XLOOKUP(E31,Masterdata!$B$31:$B$44,Masterdata!$A$31:$A$44,_xlfn.SWITCH(WEEKDAY($D31, 2), 1, "mandag", 2, "tirsdag", 3, "onsdag", 4, "torsdag", 5, "fredag", 6, "lørdag", 7, "søndag"),0)</f>
        <v>mandag</v>
      </c>
      <c r="D31">
        <f t="shared" si="0"/>
        <v>2</v>
      </c>
      <c r="E31" s="19">
        <f t="shared" si="3"/>
        <v>46076</v>
      </c>
      <c r="F31" s="10" t="s">
        <v>23</v>
      </c>
      <c r="G31" s="12">
        <f>IF(OR(AND(F31="N",NOT(OR(C31="mandag",C31="tirsdag",C31="onsdag",C31="torsdag",C31="fredag"))),F31="F"),0,
        IF(OR(
            AND(Masterdata!$B$4&lt;&gt;DATE(1900,1,0), Masterdata!$B$4&lt;$E31),
            AND(Masterdata!$B$3&lt;&gt;DATE(1900,1,0), Masterdata!$B$3&gt;$E31)
        ),
        0, $X$7/(5-H31)))</f>
        <v>0.30833333333333335</v>
      </c>
      <c r="H31" s="86">
        <f>SUMPRODUCT(COUNTIFS(Januar!$A$9:$A$39,$A31,Januar!$D$9:$D$39,"&lt;7",Januar!$F$9:$F$39,"F")+COUNTIFS($A$9:$A$38,$A31,$D$9:$D$38,"&lt;7",$F$9:$F$38,"F")+COUNTIFS(Marts!$A$9:$A$39,$A31,Marts!$D$9:$D$39,"&lt;7",Marts!$F$9:$F$39,"F"))</f>
        <v>0</v>
      </c>
      <c r="I31" s="11">
        <v>0</v>
      </c>
      <c r="J31" s="11">
        <v>0</v>
      </c>
      <c r="K31" s="11">
        <v>0</v>
      </c>
      <c r="L31" s="26" t="str">
        <f t="shared" si="1"/>
        <v>07:24</v>
      </c>
      <c r="M31" s="26" t="str">
        <f>IF(OR(F31="N",F31="F"),"0:00",
IF(
OR(
AND(Masterdata!$B$4&lt;&gt;DATE(1900,1,0),Masterdata!$B$4&lt;$E31),
AND(Masterdata!$B$3&lt;&gt;DATE(1900,1,0),Masterdata!$B$3&gt;$E31)
),"0:00",
IF(
$I31&gt;TIME(0,0,0),
IF(
NOT(OR($C31="mandag",$C31="tirsdag",$C31="onsdag",$C31="torsdag",$C31="fredag")),
TEXT($I31,"[tt]:mm"),
IF($I31-$G31&gt;=0,TEXT($I31-$G31,"[tt]:mm"),"-"&amp;TEXT(ABS($I31-$G31),"[tt]:mm"))
),
IF(
NOT(OR($C31="mandag",$C31="tirsdag",$C31="onsdag",$C31="torsdag",$C31="fredag")),
IF($K31-$J31&gt;=0,TEXT($K31-$J31,"[tt]:mm"),"-"&amp;TEXT(ABS($K31-$J31),"[tt]:mm")),
IF(
$K31-$J31-$G31&gt;=0,
TEXT($K31-$J31-$G31,"[tt]:mm"),
"-"&amp;TEXT(ABS($K31-$J31-$G31),"[tt]:mm")
)
)
)
))</f>
        <v>0:00</v>
      </c>
      <c r="N31" s="21" t="str">
        <f t="shared" si="12"/>
        <v>0</v>
      </c>
      <c r="O31" s="25" t="str">
        <f t="shared" si="5"/>
        <v>0:</v>
      </c>
      <c r="P31" s="20" t="str">
        <f t="shared" si="6"/>
        <v>0</v>
      </c>
      <c r="Q31" s="24">
        <f t="shared" si="10"/>
        <v>0</v>
      </c>
      <c r="R31" s="2">
        <f t="shared" si="13"/>
        <v>0</v>
      </c>
      <c r="S31" s="98"/>
      <c r="T31" s="98"/>
    </row>
    <row r="32" spans="1:24" x14ac:dyDescent="0.3">
      <c r="A32" s="7">
        <f t="shared" si="2"/>
        <v>9</v>
      </c>
      <c r="B32" s="8">
        <f t="shared" si="9"/>
        <v>46077</v>
      </c>
      <c r="C32" s="9" t="str" cm="1">
        <f t="array" ref="C32">_xlfn.XLOOKUP(E32,Masterdata!$B$31:$B$44,Masterdata!$A$31:$A$44,_xlfn.SWITCH(WEEKDAY($D32, 2), 1, "mandag", 2, "tirsdag", 3, "onsdag", 4, "torsdag", 5, "fredag", 6, "lørdag", 7, "søndag"),0)</f>
        <v>tirsdag</v>
      </c>
      <c r="D32">
        <f t="shared" si="0"/>
        <v>3</v>
      </c>
      <c r="E32" s="19">
        <f t="shared" si="3"/>
        <v>46077</v>
      </c>
      <c r="F32" s="10" t="s">
        <v>23</v>
      </c>
      <c r="G32" s="12">
        <f>IF(OR(AND(F32="N",NOT(OR(C32="mandag",C32="tirsdag",C32="onsdag",C32="torsdag",C32="fredag"))),F32="F"),0,
        IF(OR(
            AND(Masterdata!$B$4&lt;&gt;DATE(1900,1,0), Masterdata!$B$4&lt;$E32),
            AND(Masterdata!$B$3&lt;&gt;DATE(1900,1,0), Masterdata!$B$3&gt;$E32)
        ),
        0, $X$7/(5-H32)))</f>
        <v>0.30833333333333335</v>
      </c>
      <c r="H32" s="86">
        <f>SUMPRODUCT(COUNTIFS(Januar!$A$9:$A$39,$A32,Januar!$D$9:$D$39,"&lt;7",Januar!$F$9:$F$39,"F")+COUNTIFS($A$9:$A$38,$A32,$D$9:$D$38,"&lt;7",$F$9:$F$38,"F")+COUNTIFS(Marts!$A$9:$A$39,$A32,Marts!$D$9:$D$39,"&lt;7",Marts!$F$9:$F$39,"F"))</f>
        <v>0</v>
      </c>
      <c r="I32" s="11">
        <v>0</v>
      </c>
      <c r="J32" s="11">
        <v>0</v>
      </c>
      <c r="K32" s="11">
        <v>0</v>
      </c>
      <c r="L32" s="26" t="str">
        <f t="shared" si="1"/>
        <v>07:24</v>
      </c>
      <c r="M32" s="26" t="str">
        <f>IF(OR(F32="N",F32="F"),"0:00",
IF(
OR(
AND(Masterdata!$B$4&lt;&gt;DATE(1900,1,0),Masterdata!$B$4&lt;$E32),
AND(Masterdata!$B$3&lt;&gt;DATE(1900,1,0),Masterdata!$B$3&gt;$E32)
),"0:00",
IF(
$I32&gt;TIME(0,0,0),
IF(
NOT(OR($C32="mandag",$C32="tirsdag",$C32="onsdag",$C32="torsdag",$C32="fredag")),
TEXT($I32,"[tt]:mm"),
IF($I32-$G32&gt;=0,TEXT($I32-$G32,"[tt]:mm"),"-"&amp;TEXT(ABS($I32-$G32),"[tt]:mm"))
),
IF(
NOT(OR($C32="mandag",$C32="tirsdag",$C32="onsdag",$C32="torsdag",$C32="fredag")),
IF($K32-$J32&gt;=0,TEXT($K32-$J32,"[tt]:mm"),"-"&amp;TEXT(ABS($K32-$J32),"[tt]:mm")),
IF(
$K32-$J32-$G32&gt;=0,
TEXT($K32-$J32-$G32,"[tt]:mm"),
"-"&amp;TEXT(ABS($K32-$J32-$G32),"[tt]:mm")
)
)
)
))</f>
        <v>0:00</v>
      </c>
      <c r="N32" s="21" t="str">
        <f t="shared" si="12"/>
        <v>0</v>
      </c>
      <c r="O32" s="25" t="str">
        <f t="shared" si="5"/>
        <v>0:</v>
      </c>
      <c r="P32" s="20" t="str">
        <f t="shared" si="6"/>
        <v>0</v>
      </c>
      <c r="Q32" s="24">
        <f t="shared" si="10"/>
        <v>0</v>
      </c>
      <c r="R32" s="2">
        <f t="shared" si="13"/>
        <v>0</v>
      </c>
      <c r="S32" s="98"/>
      <c r="T32" s="98"/>
    </row>
    <row r="33" spans="1:20" x14ac:dyDescent="0.3">
      <c r="A33" s="7">
        <f t="shared" si="2"/>
        <v>9</v>
      </c>
      <c r="B33" s="8">
        <f t="shared" si="9"/>
        <v>46078</v>
      </c>
      <c r="C33" s="9" t="str" cm="1">
        <f t="array" ref="C33">_xlfn.XLOOKUP(E33,Masterdata!$B$31:$B$44,Masterdata!$A$31:$A$44,_xlfn.SWITCH(WEEKDAY($D33, 2), 1, "mandag", 2, "tirsdag", 3, "onsdag", 4, "torsdag", 5, "fredag", 6, "lørdag", 7, "søndag"),0)</f>
        <v>onsdag</v>
      </c>
      <c r="D33">
        <f t="shared" si="0"/>
        <v>4</v>
      </c>
      <c r="E33" s="19">
        <f t="shared" si="3"/>
        <v>46078</v>
      </c>
      <c r="F33" s="10" t="s">
        <v>23</v>
      </c>
      <c r="G33" s="12">
        <f>IF(OR(AND(F33="N",NOT(OR(C33="mandag",C33="tirsdag",C33="onsdag",C33="torsdag",C33="fredag"))),F33="F"),0,
        IF(OR(
            AND(Masterdata!$B$4&lt;&gt;DATE(1900,1,0), Masterdata!$B$4&lt;$E33),
            AND(Masterdata!$B$3&lt;&gt;DATE(1900,1,0), Masterdata!$B$3&gt;$E33)
        ),
        0, $X$7/(5-H33)))</f>
        <v>0.30833333333333335</v>
      </c>
      <c r="H33" s="86">
        <f>SUMPRODUCT(COUNTIFS(Januar!$A$9:$A$39,$A33,Januar!$D$9:$D$39,"&lt;7",Januar!$F$9:$F$39,"F")+COUNTIFS($A$9:$A$38,$A33,$D$9:$D$38,"&lt;7",$F$9:$F$38,"F")+COUNTIFS(Marts!$A$9:$A$39,$A33,Marts!$D$9:$D$39,"&lt;7",Marts!$F$9:$F$39,"F"))</f>
        <v>0</v>
      </c>
      <c r="I33" s="11">
        <v>0</v>
      </c>
      <c r="J33" s="11">
        <v>0</v>
      </c>
      <c r="K33" s="11">
        <v>0</v>
      </c>
      <c r="L33" s="26" t="str">
        <f t="shared" si="1"/>
        <v>07:24</v>
      </c>
      <c r="M33" s="26" t="str">
        <f>IF(OR(F33="N",F33="F"),"0:00",
IF(
OR(
AND(Masterdata!$B$4&lt;&gt;DATE(1900,1,0),Masterdata!$B$4&lt;$E33),
AND(Masterdata!$B$3&lt;&gt;DATE(1900,1,0),Masterdata!$B$3&gt;$E33)
),"0:00",
IF(
$I33&gt;TIME(0,0,0),
IF(
NOT(OR($C33="mandag",$C33="tirsdag",$C33="onsdag",$C33="torsdag",$C33="fredag")),
TEXT($I33,"[tt]:mm"),
IF($I33-$G33&gt;=0,TEXT($I33-$G33,"[tt]:mm"),"-"&amp;TEXT(ABS($I33-$G33),"[tt]:mm"))
),
IF(
NOT(OR($C33="mandag",$C33="tirsdag",$C33="onsdag",$C33="torsdag",$C33="fredag")),
IF($K33-$J33&gt;=0,TEXT($K33-$J33,"[tt]:mm"),"-"&amp;TEXT(ABS($K33-$J33),"[tt]:mm")),
IF(
$K33-$J33-$G33&gt;=0,
TEXT($K33-$J33-$G33,"[tt]:mm"),
"-"&amp;TEXT(ABS($K33-$J33-$G33),"[tt]:mm")
)
)
)
))</f>
        <v>0:00</v>
      </c>
      <c r="N33" s="21" t="str">
        <f t="shared" si="12"/>
        <v>0</v>
      </c>
      <c r="O33" s="25" t="str">
        <f t="shared" si="5"/>
        <v>0:</v>
      </c>
      <c r="P33" s="20" t="str">
        <f t="shared" si="6"/>
        <v>0</v>
      </c>
      <c r="Q33" s="24">
        <f t="shared" si="10"/>
        <v>0</v>
      </c>
      <c r="R33" s="2">
        <f t="shared" si="13"/>
        <v>0</v>
      </c>
      <c r="S33" s="98"/>
      <c r="T33" s="98"/>
    </row>
    <row r="34" spans="1:20" x14ac:dyDescent="0.3">
      <c r="A34" s="7">
        <f t="shared" si="2"/>
        <v>9</v>
      </c>
      <c r="B34" s="8">
        <f t="shared" si="9"/>
        <v>46079</v>
      </c>
      <c r="C34" s="9" t="str" cm="1">
        <f t="array" ref="C34">_xlfn.XLOOKUP(E34,Masterdata!$B$31:$B$44,Masterdata!$A$31:$A$44,_xlfn.SWITCH(WEEKDAY($D34, 2), 1, "mandag", 2, "tirsdag", 3, "onsdag", 4, "torsdag", 5, "fredag", 6, "lørdag", 7, "søndag"),0)</f>
        <v>torsdag</v>
      </c>
      <c r="D34">
        <f t="shared" si="0"/>
        <v>5</v>
      </c>
      <c r="E34" s="19">
        <f t="shared" si="3"/>
        <v>46079</v>
      </c>
      <c r="F34" s="10" t="s">
        <v>23</v>
      </c>
      <c r="G34" s="12">
        <f>IF(OR(AND(F34="N",NOT(OR(C34="mandag",C34="tirsdag",C34="onsdag",C34="torsdag",C34="fredag"))),F34="F"),0,
        IF(OR(
            AND(Masterdata!$B$4&lt;&gt;DATE(1900,1,0), Masterdata!$B$4&lt;$E34),
            AND(Masterdata!$B$3&lt;&gt;DATE(1900,1,0), Masterdata!$B$3&gt;$E34)
        ),
        0, $X$7/(5-H34)))</f>
        <v>0.30833333333333335</v>
      </c>
      <c r="H34" s="86">
        <f>SUMPRODUCT(COUNTIFS(Januar!$A$9:$A$39,$A34,Januar!$D$9:$D$39,"&lt;7",Januar!$F$9:$F$39,"F")+COUNTIFS($A$9:$A$38,$A34,$D$9:$D$38,"&lt;7",$F$9:$F$38,"F")+COUNTIFS(Marts!$A$9:$A$39,$A34,Marts!$D$9:$D$39,"&lt;7",Marts!$F$9:$F$39,"F"))</f>
        <v>0</v>
      </c>
      <c r="I34" s="11">
        <v>0</v>
      </c>
      <c r="J34" s="11">
        <v>0</v>
      </c>
      <c r="K34" s="11">
        <v>0</v>
      </c>
      <c r="L34" s="26" t="str">
        <f t="shared" si="1"/>
        <v>07:24</v>
      </c>
      <c r="M34" s="26" t="str">
        <f>IF(OR(F34="N",F34="F"),"0:00",
IF(
OR(
AND(Masterdata!$B$4&lt;&gt;DATE(1900,1,0),Masterdata!$B$4&lt;$E34),
AND(Masterdata!$B$3&lt;&gt;DATE(1900,1,0),Masterdata!$B$3&gt;$E34)
),"0:00",
IF(
$I34&gt;TIME(0,0,0),
IF(
NOT(OR($C34="mandag",$C34="tirsdag",$C34="onsdag",$C34="torsdag",$C34="fredag")),
TEXT($I34,"[tt]:mm"),
IF($I34-$G34&gt;=0,TEXT($I34-$G34,"[tt]:mm"),"-"&amp;TEXT(ABS($I34-$G34),"[tt]:mm"))
),
IF(
NOT(OR($C34="mandag",$C34="tirsdag",$C34="onsdag",$C34="torsdag",$C34="fredag")),
IF($K34-$J34&gt;=0,TEXT($K34-$J34,"[tt]:mm"),"-"&amp;TEXT(ABS($K34-$J34),"[tt]:mm")),
IF(
$K34-$J34-$G34&gt;=0,
TEXT($K34-$J34-$G34,"[tt]:mm"),
"-"&amp;TEXT(ABS($K34-$J34-$G34),"[tt]:mm")
)
)
)
))</f>
        <v>0:00</v>
      </c>
      <c r="N34" s="21" t="str">
        <f t="shared" si="12"/>
        <v>0</v>
      </c>
      <c r="O34" s="25" t="str">
        <f t="shared" si="5"/>
        <v>0:</v>
      </c>
      <c r="P34" s="20" t="str">
        <f t="shared" si="6"/>
        <v>0</v>
      </c>
      <c r="Q34" s="24">
        <f t="shared" si="10"/>
        <v>0</v>
      </c>
      <c r="R34" s="2">
        <f t="shared" si="13"/>
        <v>0</v>
      </c>
      <c r="S34" s="98"/>
      <c r="T34" s="98"/>
    </row>
    <row r="35" spans="1:20" x14ac:dyDescent="0.3">
      <c r="A35" s="7">
        <f t="shared" si="2"/>
        <v>9</v>
      </c>
      <c r="B35" s="8">
        <f t="shared" si="9"/>
        <v>46080</v>
      </c>
      <c r="C35" s="9" t="str" cm="1">
        <f t="array" ref="C35">_xlfn.XLOOKUP(E35,Masterdata!$B$31:$B$44,Masterdata!$A$31:$A$44,_xlfn.SWITCH(WEEKDAY($D35, 2), 1, "mandag", 2, "tirsdag", 3, "onsdag", 4, "torsdag", 5, "fredag", 6, "lørdag", 7, "søndag"),0)</f>
        <v>fredag</v>
      </c>
      <c r="D35">
        <f t="shared" si="0"/>
        <v>6</v>
      </c>
      <c r="E35" s="19">
        <f t="shared" si="3"/>
        <v>46080</v>
      </c>
      <c r="F35" s="10" t="s">
        <v>23</v>
      </c>
      <c r="G35" s="12">
        <f>IF(OR(AND(F35="N",NOT(OR(C35="mandag",C35="tirsdag",C35="onsdag",C35="torsdag",C35="fredag"))),F35="F"),0,
        IF(OR(
            AND(Masterdata!$B$4&lt;&gt;DATE(1900,1,0), Masterdata!$B$4&lt;$E35),
            AND(Masterdata!$B$3&lt;&gt;DATE(1900,1,0), Masterdata!$B$3&gt;$E35)
        ),
        0, $X$7/(5-H35)))</f>
        <v>0.30833333333333335</v>
      </c>
      <c r="H35" s="86">
        <f>SUMPRODUCT(COUNTIFS(Januar!$A$9:$A$39,$A35,Januar!$D$9:$D$39,"&lt;7",Januar!$F$9:$F$39,"F")+COUNTIFS($A$9:$A$38,$A35,$D$9:$D$38,"&lt;7",$F$9:$F$38,"F")+COUNTIFS(Marts!$A$9:$A$39,$A35,Marts!$D$9:$D$39,"&lt;7",Marts!$F$9:$F$39,"F"))</f>
        <v>0</v>
      </c>
      <c r="I35" s="11">
        <v>0</v>
      </c>
      <c r="J35" s="11">
        <v>0</v>
      </c>
      <c r="K35" s="11">
        <v>0</v>
      </c>
      <c r="L35" s="26" t="str">
        <f t="shared" si="1"/>
        <v>07:24</v>
      </c>
      <c r="M35" s="26" t="str">
        <f>IF(OR(F35="N",F35="F"),"0:00",
IF(
OR(
AND(Masterdata!$B$4&lt;&gt;DATE(1900,1,0),Masterdata!$B$4&lt;$E35),
AND(Masterdata!$B$3&lt;&gt;DATE(1900,1,0),Masterdata!$B$3&gt;$E35)
),"0:00",
IF(
$I35&gt;TIME(0,0,0),
IF(
NOT(OR($C35="mandag",$C35="tirsdag",$C35="onsdag",$C35="torsdag",$C35="fredag")),
TEXT($I35,"[tt]:mm"),
IF($I35-$G35&gt;=0,TEXT($I35-$G35,"[tt]:mm"),"-"&amp;TEXT(ABS($I35-$G35),"[tt]:mm"))
),
IF(
NOT(OR($C35="mandag",$C35="tirsdag",$C35="onsdag",$C35="torsdag",$C35="fredag")),
IF($K35-$J35&gt;=0,TEXT($K35-$J35,"[tt]:mm"),"-"&amp;TEXT(ABS($K35-$J35),"[tt]:mm")),
IF(
$K35-$J35-$G35&gt;=0,
TEXT($K35-$J35-$G35,"[tt]:mm"),
"-"&amp;TEXT(ABS($K35-$J35-$G35),"[tt]:mm")
)
)
)
))</f>
        <v>0:00</v>
      </c>
      <c r="N35" s="21" t="str">
        <f t="shared" si="12"/>
        <v>0</v>
      </c>
      <c r="O35" s="25" t="str">
        <f t="shared" si="5"/>
        <v>0:</v>
      </c>
      <c r="P35" s="20" t="str">
        <f t="shared" si="6"/>
        <v>0</v>
      </c>
      <c r="Q35" s="24">
        <f t="shared" si="10"/>
        <v>0</v>
      </c>
      <c r="R35" s="2">
        <f t="shared" si="13"/>
        <v>0</v>
      </c>
      <c r="S35" s="98"/>
      <c r="T35" s="98"/>
    </row>
    <row r="36" spans="1:20" x14ac:dyDescent="0.3">
      <c r="A36" s="7">
        <f t="shared" si="2"/>
        <v>9</v>
      </c>
      <c r="B36" s="8">
        <f t="shared" si="9"/>
        <v>46081</v>
      </c>
      <c r="C36" s="9" t="str" cm="1">
        <f t="array" ref="C36">_xlfn.XLOOKUP(E36,Masterdata!$B$31:$B$44,Masterdata!$A$31:$A$44,_xlfn.SWITCH(WEEKDAY($D36, 2), 1, "mandag", 2, "tirsdag", 3, "onsdag", 4, "torsdag", 5, "fredag", 6, "lørdag", 7, "søndag"),0)</f>
        <v>lørdag</v>
      </c>
      <c r="D36">
        <f t="shared" si="0"/>
        <v>7</v>
      </c>
      <c r="E36" s="19">
        <f t="shared" si="3"/>
        <v>46081</v>
      </c>
      <c r="F36" s="10" t="s">
        <v>23</v>
      </c>
      <c r="G36" s="12">
        <f>IF(OR(AND(F36="N",NOT(OR(C36="mandag",C36="tirsdag",C36="onsdag",C36="torsdag",C36="fredag"))),F36="F"),0,
        IF(OR(
            AND(Masterdata!$B$4&lt;&gt;DATE(1900,1,0), Masterdata!$B$4&lt;$E36),
            AND(Masterdata!$B$3&lt;&gt;DATE(1900,1,0), Masterdata!$B$3&gt;$E36)
        ),
        0, $X$7/(5-H36)))</f>
        <v>0</v>
      </c>
      <c r="H36" s="86">
        <f>SUMPRODUCT(COUNTIFS(Januar!$A$9:$A$39,$A36,Januar!$D$9:$D$39,"&lt;7",Januar!$F$9:$F$39,"F")+COUNTIFS($A$9:$A$38,$A36,$D$9:$D$38,"&lt;7",$F$9:$F$38,"F")+COUNTIFS(Marts!$A$9:$A$39,$A36,Marts!$D$9:$D$39,"&lt;7",Marts!$F$9:$F$39,"F"))</f>
        <v>0</v>
      </c>
      <c r="I36" s="11">
        <v>0</v>
      </c>
      <c r="J36" s="11">
        <v>0</v>
      </c>
      <c r="K36" s="11">
        <v>0</v>
      </c>
      <c r="L36" s="26" t="str">
        <f t="shared" si="1"/>
        <v>00:00</v>
      </c>
      <c r="M36" s="26" t="str">
        <f>IF(OR(F36="N",F36="F"),"0:00",
IF(
OR(
AND(Masterdata!$B$4&lt;&gt;DATE(1900,1,0),Masterdata!$B$4&lt;$E36),
AND(Masterdata!$B$3&lt;&gt;DATE(1900,1,0),Masterdata!$B$3&gt;$E36)
),"0:00",
IF(
$I36&gt;TIME(0,0,0),
IF(
NOT(OR($C36="mandag",$C36="tirsdag",$C36="onsdag",$C36="torsdag",$C36="fredag")),
TEXT($I36,"[tt]:mm"),
IF($I36-$G36&gt;=0,TEXT($I36-$G36,"[tt]:mm"),"-"&amp;TEXT(ABS($I36-$G36),"[tt]:mm"))
),
IF(
NOT(OR($C36="mandag",$C36="tirsdag",$C36="onsdag",$C36="torsdag",$C36="fredag")),
IF($K36-$J36&gt;=0,TEXT($K36-$J36,"[tt]:mm"),"-"&amp;TEXT(ABS($K36-$J36),"[tt]:mm")),
IF(
$K36-$J36-$G36&gt;=0,
TEXT($K36-$J36-$G36,"[tt]:mm"),
"-"&amp;TEXT(ABS($K36-$J36-$G36),"[tt]:mm")
)
)
)
))</f>
        <v>0:00</v>
      </c>
      <c r="N36" s="21" t="str">
        <f t="shared" si="12"/>
        <v>0</v>
      </c>
      <c r="O36" s="25" t="str">
        <f t="shared" si="5"/>
        <v>0:</v>
      </c>
      <c r="P36" s="20" t="str">
        <f t="shared" si="6"/>
        <v>0</v>
      </c>
      <c r="Q36" s="24">
        <f t="shared" si="10"/>
        <v>0</v>
      </c>
      <c r="R36" s="2">
        <f t="shared" si="13"/>
        <v>0</v>
      </c>
      <c r="S36" s="98"/>
      <c r="T36" s="98"/>
    </row>
    <row r="37" spans="1:20" x14ac:dyDescent="0.3">
      <c r="A37" s="7">
        <f t="shared" si="2"/>
        <v>9</v>
      </c>
      <c r="B37" s="8">
        <f t="shared" si="9"/>
        <v>46082</v>
      </c>
      <c r="C37" s="9" t="str" cm="1">
        <f t="array" ref="C37">_xlfn.XLOOKUP(E37,Masterdata!$B$31:$B$44,Masterdata!$A$31:$A$44,_xlfn.SWITCH(WEEKDAY($D37, 2), 1, "mandag", 2, "tirsdag", 3, "onsdag", 4, "torsdag", 5, "fredag", 6, "lørdag", 7, "søndag"),0)</f>
        <v>søndag</v>
      </c>
      <c r="D37">
        <f t="shared" si="0"/>
        <v>8</v>
      </c>
      <c r="E37" s="19">
        <f t="shared" si="3"/>
        <v>46082</v>
      </c>
      <c r="F37" s="10" t="s">
        <v>23</v>
      </c>
      <c r="G37" s="12">
        <f>IF(OR(AND(F37="N",NOT(OR(C37="mandag",C37="tirsdag",C37="onsdag",C37="torsdag",C37="fredag"))),F37="F"),0,
        IF(OR(
            AND(Masterdata!$B$4&lt;&gt;DATE(1900,1,0), Masterdata!$B$4&lt;$E37),
            AND(Masterdata!$B$3&lt;&gt;DATE(1900,1,0), Masterdata!$B$3&gt;$E37)
        ),
        0, $X$7/(5-H37)))</f>
        <v>0</v>
      </c>
      <c r="H37" s="86">
        <f>SUMPRODUCT(COUNTIFS(Januar!$A$9:$A$39,$A37,Januar!$D$9:$D$39,"&lt;7",Januar!$F$9:$F$39,"F")+COUNTIFS($A$9:$A$38,$A37,$D$9:$D$38,"&lt;7",$F$9:$F$38,"F")+COUNTIFS(Marts!$A$9:$A$39,$A37,Marts!$D$9:$D$39,"&lt;7",Marts!$F$9:$F$39,"F"))</f>
        <v>0</v>
      </c>
      <c r="I37" s="11">
        <v>0</v>
      </c>
      <c r="J37" s="11">
        <v>0</v>
      </c>
      <c r="K37" s="11">
        <v>0</v>
      </c>
      <c r="L37" s="26" t="str">
        <f t="shared" si="1"/>
        <v>00:00</v>
      </c>
      <c r="M37" s="26" t="str">
        <f>IF(OR(F37="N",F37="F"),"0:00",
IF(
OR(
AND(Masterdata!$B$4&lt;&gt;DATE(1900,1,0),Masterdata!$B$4&lt;$E37),
AND(Masterdata!$B$3&lt;&gt;DATE(1900,1,0),Masterdata!$B$3&gt;$E37)
),"0:00",
IF(
$I37&gt;TIME(0,0,0),
IF(
NOT(OR($C37="mandag",$C37="tirsdag",$C37="onsdag",$C37="torsdag",$C37="fredag")),
TEXT($I37,"[tt]:mm"),
IF($I37-$G37&gt;=0,TEXT($I37-$G37,"[tt]:mm"),"-"&amp;TEXT(ABS($I37-$G37),"[tt]:mm"))
),
IF(
NOT(OR($C37="mandag",$C37="tirsdag",$C37="onsdag",$C37="torsdag",$C37="fredag")),
IF($K37-$J37&gt;=0,TEXT($K37-$J37,"[tt]:mm"),"-"&amp;TEXT(ABS($K37-$J37),"[tt]:mm")),
IF(
$K37-$J37-$G37&gt;=0,
TEXT($K37-$J37-$G37,"[tt]:mm"),
"-"&amp;TEXT(ABS($K37-$J37-$G37),"[tt]:mm")
)
)
)
))</f>
        <v>0:00</v>
      </c>
      <c r="N37" s="21" t="str">
        <f t="shared" ref="N37" si="14">LEFT(M37,1)</f>
        <v>0</v>
      </c>
      <c r="O37" s="25" t="str">
        <f t="shared" si="5"/>
        <v>0:</v>
      </c>
      <c r="P37" s="20" t="str">
        <f t="shared" si="6"/>
        <v>0</v>
      </c>
      <c r="Q37" s="24">
        <f t="shared" ref="Q37" si="15">P37/60</f>
        <v>0</v>
      </c>
      <c r="R37" s="2">
        <f t="shared" ref="R37" si="16">IF(N37="-",O37-Q37,O37+Q37)</f>
        <v>0</v>
      </c>
      <c r="S37" s="98"/>
      <c r="T37" s="98"/>
    </row>
    <row r="38" spans="1:20" x14ac:dyDescent="0.3">
      <c r="R38" s="2">
        <f>SUM(R9:R37)</f>
        <v>0</v>
      </c>
    </row>
  </sheetData>
  <sheetProtection algorithmName="SHA-512" hashValue="4ByHbtiXNHfmWwB9Fcb0nEZWyahv1rawMdj8+e4PuP1MsZ4/2tQnlihg1K1k2hqfDKFF4cQ/mi0BShp962fGiQ==" saltValue="kx/TKHaIkrIFbzzQurCVDA==" spinCount="100000" sheet="1" objects="1" scenarios="1"/>
  <mergeCells count="36">
    <mergeCell ref="S23:T23"/>
    <mergeCell ref="S24:T24"/>
    <mergeCell ref="S25:T25"/>
    <mergeCell ref="S26:T26"/>
    <mergeCell ref="S17:T17"/>
    <mergeCell ref="S18:T18"/>
    <mergeCell ref="S19:T19"/>
    <mergeCell ref="S20:T20"/>
    <mergeCell ref="S21:T21"/>
    <mergeCell ref="S22:T22"/>
    <mergeCell ref="S37:T37"/>
    <mergeCell ref="S29:T29"/>
    <mergeCell ref="S27:T27"/>
    <mergeCell ref="S28:T28"/>
    <mergeCell ref="S36:T36"/>
    <mergeCell ref="S30:T30"/>
    <mergeCell ref="S31:T31"/>
    <mergeCell ref="S32:T32"/>
    <mergeCell ref="S33:T33"/>
    <mergeCell ref="S34:T34"/>
    <mergeCell ref="S35:T35"/>
    <mergeCell ref="S15:T15"/>
    <mergeCell ref="S16:T16"/>
    <mergeCell ref="S14:T14"/>
    <mergeCell ref="S1:T1"/>
    <mergeCell ref="S3:T3"/>
    <mergeCell ref="S4:T4"/>
    <mergeCell ref="S5:T5"/>
    <mergeCell ref="S6:T6"/>
    <mergeCell ref="S8:T8"/>
    <mergeCell ref="S9:T9"/>
    <mergeCell ref="S10:T10"/>
    <mergeCell ref="S11:T11"/>
    <mergeCell ref="S12:T12"/>
    <mergeCell ref="S13:T13"/>
    <mergeCell ref="S2:T2"/>
  </mergeCells>
  <conditionalFormatting sqref="A9:G37">
    <cfRule type="expression" dxfId="57" priority="8">
      <formula>$F9="F"</formula>
    </cfRule>
  </conditionalFormatting>
  <conditionalFormatting sqref="A9:H37">
    <cfRule type="expression" dxfId="56" priority="9">
      <formula>NOT(OR($C9="mandag", $C9="tirsdag",$C9="onsdag",$C9="torsdag",$C9="fredag"))</formula>
    </cfRule>
  </conditionalFormatting>
  <conditionalFormatting sqref="A37:T37">
    <cfRule type="expression" dxfId="55" priority="1">
      <formula>NOT(MONTH($E$37)=2)</formula>
    </cfRule>
  </conditionalFormatting>
  <conditionalFormatting sqref="G9:H37">
    <cfRule type="expression" dxfId="54" priority="2">
      <formula>AND($F9="N", (OR($C9="mandag", $C9="tirsdag",$C9="onsdag",$C9="torsdag",$C9="fredag")))</formula>
    </cfRule>
  </conditionalFormatting>
  <conditionalFormatting sqref="I9:K36">
    <cfRule type="expression" dxfId="53" priority="3">
      <formula>OR($F9="N",$F9="F")</formula>
    </cfRule>
    <cfRule type="expression" dxfId="52" priority="4">
      <formula>$F9="R"</formula>
    </cfRule>
  </conditionalFormatting>
  <conditionalFormatting sqref="I37:K37">
    <cfRule type="expression" dxfId="51" priority="25">
      <formula>OR($F37="N")</formula>
    </cfRule>
    <cfRule type="expression" dxfId="50" priority="27">
      <formula>$F37="R"</formula>
    </cfRule>
  </conditionalFormatting>
  <dataValidations count="2">
    <dataValidation type="list" allowBlank="1" showInputMessage="1" showErrorMessage="1" sqref="F9:F37" xr:uid="{8D9FBD4D-ED89-4C11-AF6E-8EC195444955}">
      <formula1>IF($B$2,$M$3:$M$5,$M$4:$M$5)</formula1>
    </dataValidation>
    <dataValidation type="time" allowBlank="1" showInputMessage="1" showErrorMessage="1" sqref="I9:K37" xr:uid="{34B820F3-7C36-40CC-83E9-C5AE7F7763AC}">
      <formula1>0</formula1>
      <formula2>0.999305555555556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87964-7A3A-4BD9-B550-4CE7E5C73399}">
  <dimension ref="A1:AS78"/>
  <sheetViews>
    <sheetView zoomScale="70" zoomScaleNormal="70" workbookViewId="0"/>
  </sheetViews>
  <sheetFormatPr defaultRowHeight="14.4" outlineLevelCol="1" x14ac:dyDescent="0.3"/>
  <cols>
    <col min="1" max="1" width="15.5546875" customWidth="1"/>
    <col min="2" max="2" width="14.109375" customWidth="1"/>
    <col min="3" max="3" width="16.6640625" customWidth="1"/>
    <col min="4" max="4" width="15" hidden="1" customWidth="1"/>
    <col min="5" max="5" width="12.88671875" hidden="1" customWidth="1"/>
    <col min="6" max="6" width="13.5546875" bestFit="1" customWidth="1"/>
    <col min="7" max="7" width="16.33203125" bestFit="1" customWidth="1"/>
    <col min="8" max="8" width="24.109375" customWidth="1"/>
    <col min="9" max="9" width="17.88671875" customWidth="1"/>
    <col min="10" max="11" width="11.33203125" customWidth="1"/>
    <col min="12" max="12" width="18.6640625" customWidth="1"/>
    <col min="13" max="13" width="11.5546875" customWidth="1"/>
    <col min="14" max="15" width="11.109375" hidden="1" customWidth="1" outlineLevel="1"/>
    <col min="16" max="16" width="7.6640625" hidden="1" customWidth="1" outlineLevel="1"/>
    <col min="17" max="18" width="7.5546875" hidden="1" customWidth="1" outlineLevel="1"/>
    <col min="19" max="19" width="53.44140625" customWidth="1" collapsed="1"/>
    <col min="20" max="20" width="29.44140625" customWidth="1"/>
    <col min="21" max="21" width="9.109375" hidden="1" customWidth="1" outlineLevel="1"/>
    <col min="22" max="22" width="24.6640625" hidden="1" customWidth="1" outlineLevel="1"/>
    <col min="23" max="23" width="43" hidden="1" customWidth="1" outlineLevel="1"/>
    <col min="24" max="24" width="14" hidden="1" customWidth="1" outlineLevel="1"/>
    <col min="25" max="25" width="19.44140625" customWidth="1" outlineLevel="1"/>
  </cols>
  <sheetData>
    <row r="1" spans="1:45" ht="16.5" customHeight="1" thickBot="1" x14ac:dyDescent="0.35">
      <c r="A1" s="14" t="s">
        <v>102</v>
      </c>
      <c r="B1" s="15">
        <v>37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</row>
    <row r="2" spans="1:45" ht="36" customHeight="1" x14ac:dyDescent="0.3">
      <c r="A2" s="39" t="s">
        <v>130</v>
      </c>
      <c r="B2" s="91" t="b">
        <v>0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48" t="s">
        <v>21</v>
      </c>
      <c r="N2" s="67"/>
      <c r="O2" s="67"/>
      <c r="P2" s="67"/>
      <c r="Q2" s="67"/>
      <c r="R2" s="67"/>
      <c r="S2" s="99" t="s">
        <v>22</v>
      </c>
      <c r="T2" s="100"/>
      <c r="U2" s="45"/>
      <c r="W2" s="45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</row>
    <row r="3" spans="1:45" ht="33.75" customHeight="1" x14ac:dyDescent="0.3">
      <c r="A3" s="38" t="s">
        <v>59</v>
      </c>
      <c r="B3" s="68" t="str">
        <f ca="1">Masterdata!$D$27</f>
        <v>00:00</v>
      </c>
      <c r="C3" s="46"/>
      <c r="D3" s="29"/>
      <c r="E3" s="29"/>
      <c r="F3" s="29"/>
      <c r="G3" s="29"/>
      <c r="H3" s="29"/>
      <c r="I3" s="29"/>
      <c r="J3" s="29"/>
      <c r="K3" s="88"/>
      <c r="L3" s="46"/>
      <c r="M3" s="89" t="s">
        <v>49</v>
      </c>
      <c r="N3" s="29"/>
      <c r="O3" s="29"/>
      <c r="P3" s="29"/>
      <c r="Q3" s="29"/>
      <c r="R3" s="29"/>
      <c r="S3" s="101" t="s">
        <v>131</v>
      </c>
      <c r="T3" s="102"/>
      <c r="U3" s="45"/>
      <c r="V3" s="45"/>
      <c r="W3" s="45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</row>
    <row r="4" spans="1:45" ht="28.8" x14ac:dyDescent="0.3">
      <c r="A4" s="39" t="s">
        <v>63</v>
      </c>
      <c r="B4" s="68" t="str">
        <f>IF(R40&lt;0,"-"&amp;TEXT(ABS(R40/24),"[tt]:mm"),TEXT(R40/24,"[tt]:mm"))</f>
        <v>00:00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35" t="s">
        <v>23</v>
      </c>
      <c r="N4" s="29"/>
      <c r="O4" s="29"/>
      <c r="P4" s="29"/>
      <c r="Q4" s="29"/>
      <c r="R4" s="29"/>
      <c r="S4" s="101" t="s">
        <v>24</v>
      </c>
      <c r="T4" s="102"/>
      <c r="U4" s="46"/>
      <c r="V4" s="46"/>
      <c r="W4" s="46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</row>
    <row r="5" spans="1:45" ht="59.1" customHeight="1" x14ac:dyDescent="0.3">
      <c r="A5" s="17" t="s">
        <v>2</v>
      </c>
      <c r="B5" s="40">
        <f>Masterdata!$B$5</f>
        <v>2026</v>
      </c>
      <c r="C5" s="29"/>
      <c r="D5" s="29"/>
      <c r="E5" s="29"/>
      <c r="F5" s="29"/>
      <c r="G5" s="29"/>
      <c r="H5" s="29"/>
      <c r="I5" s="29"/>
      <c r="J5" s="29"/>
      <c r="K5" s="29"/>
      <c r="L5" s="29"/>
      <c r="M5" s="35" t="s">
        <v>25</v>
      </c>
      <c r="N5" s="29"/>
      <c r="O5" s="29"/>
      <c r="P5" s="29"/>
      <c r="Q5" s="29"/>
      <c r="R5" s="29"/>
      <c r="S5" s="103" t="s">
        <v>120</v>
      </c>
      <c r="T5" s="104"/>
      <c r="U5" s="47"/>
      <c r="V5" s="47"/>
      <c r="W5" s="47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</row>
    <row r="6" spans="1:45" ht="15" thickBot="1" x14ac:dyDescent="0.35">
      <c r="A6" s="13" t="s">
        <v>20</v>
      </c>
      <c r="B6" s="18">
        <f>B9</f>
        <v>46082</v>
      </c>
      <c r="C6" s="29"/>
      <c r="D6" s="29"/>
      <c r="E6" s="29"/>
      <c r="F6" s="29"/>
      <c r="G6" s="29"/>
      <c r="H6" s="29"/>
      <c r="I6" s="29"/>
      <c r="J6" s="29"/>
      <c r="K6" s="29"/>
      <c r="L6" s="29"/>
      <c r="M6" s="36" t="s">
        <v>26</v>
      </c>
      <c r="N6" s="69"/>
      <c r="O6" s="69"/>
      <c r="P6" s="69"/>
      <c r="Q6" s="69"/>
      <c r="R6" s="69"/>
      <c r="S6" s="105" t="s">
        <v>27</v>
      </c>
      <c r="T6" s="106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</row>
    <row r="7" spans="1:45" ht="15" thickBot="1" x14ac:dyDescent="0.35">
      <c r="A7" s="29"/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87">
        <f>$B$1/24</f>
        <v>1.5416666666666667</v>
      </c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</row>
    <row r="8" spans="1:45" ht="21.75" customHeight="1" thickBot="1" x14ac:dyDescent="0.35">
      <c r="A8" s="4" t="s">
        <v>28</v>
      </c>
      <c r="B8" s="5" t="s">
        <v>29</v>
      </c>
      <c r="C8" s="5" t="s">
        <v>30</v>
      </c>
      <c r="D8" s="5" t="s">
        <v>31</v>
      </c>
      <c r="E8" s="5" t="s">
        <v>32</v>
      </c>
      <c r="F8" s="5" t="s">
        <v>21</v>
      </c>
      <c r="G8" s="5" t="s">
        <v>102</v>
      </c>
      <c r="H8" s="5" t="s">
        <v>129</v>
      </c>
      <c r="I8" s="5" t="s">
        <v>33</v>
      </c>
      <c r="J8" s="6" t="s">
        <v>34</v>
      </c>
      <c r="K8" s="6" t="s">
        <v>35</v>
      </c>
      <c r="L8" s="6" t="s">
        <v>103</v>
      </c>
      <c r="M8" s="5" t="s">
        <v>36</v>
      </c>
      <c r="N8" s="22" t="s">
        <v>37</v>
      </c>
      <c r="O8" s="23" t="s">
        <v>38</v>
      </c>
      <c r="P8" s="23" t="s">
        <v>39</v>
      </c>
      <c r="Q8" s="23"/>
      <c r="R8" s="29"/>
      <c r="S8" s="107" t="s">
        <v>40</v>
      </c>
      <c r="T8" s="108"/>
      <c r="U8" s="29"/>
      <c r="V8" s="29"/>
      <c r="W8" s="29" t="s">
        <v>41</v>
      </c>
      <c r="X8" s="29">
        <v>5</v>
      </c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</row>
    <row r="9" spans="1:45" x14ac:dyDescent="0.3">
      <c r="A9" s="7">
        <f>WEEKNUM($B9,21)</f>
        <v>9</v>
      </c>
      <c r="B9" s="8">
        <f>DATE(Masterdata!$B$5,3,1)</f>
        <v>46082</v>
      </c>
      <c r="C9" s="9" t="str" cm="1">
        <f t="array" ref="C9">_xlfn.XLOOKUP(E9,Masterdata!$B$31:$B$44,Masterdata!$A$31:$A$44,_xlfn.SWITCH(WEEKDAY($D9, 2), 1, "mandag", 2, "tirsdag", 3, "onsdag", 4, "torsdag", 5, "fredag", 6, "lørdag", 7, "søndag"),0)</f>
        <v>søndag</v>
      </c>
      <c r="D9" s="29">
        <f t="shared" ref="D9:D39" si="0">WEEKDAY($B9, 2)+1</f>
        <v>8</v>
      </c>
      <c r="E9" s="70">
        <f>$B9</f>
        <v>46082</v>
      </c>
      <c r="F9" s="10" t="s">
        <v>23</v>
      </c>
      <c r="G9" s="12">
        <f>IF(OR(AND(F9="N",NOT(OR(C9="mandag",C9="tirsdag",C9="onsdag",C9="torsdag",C9="fredag"))),F9="F"),0,
        IF(OR(
            AND(Masterdata!$B$4&lt;&gt;DATE(1900,1,0), Masterdata!$B$4&lt;$E9),
            AND(Masterdata!$B$3&lt;&gt;DATE(1900,1,0), Masterdata!$B$3&gt;$E9)
        ),
        0, $X$7/(5-H9)))</f>
        <v>0</v>
      </c>
      <c r="H9" s="86">
        <f>SUMPRODUCT(COUNTIFS(Februar!$A$9:$A$39,$A9,Februar!$D$9:$D$39,"&lt;7",Februar!$F$9:$F$39,"F")+COUNTIFS($A$9:$A$38,$A9,$D$9:$D$38,"&lt;7",$F$9:$F$38,"F")+COUNTIFS(April!$A$9:$A$39,$A9,April!$D$9:$D$39,"&lt;7",April!$F$9:$F$39,"F"))</f>
        <v>0</v>
      </c>
      <c r="I9" s="11">
        <v>0</v>
      </c>
      <c r="J9" s="11">
        <v>0</v>
      </c>
      <c r="K9" s="11">
        <v>0</v>
      </c>
      <c r="L9" s="26" t="str">
        <f t="shared" ref="L9:L15" si="1">IF($F9="F","00:00",
IF($F9="N",TEXT($G9,"[tt]:mm"),
IF($I9&lt;&gt;0,TEXT($I9,"[tt]:mm"),
IF($K9-$J9&gt;=0,
TEXT($K9-$J9,"[tt]:mm"),
"-"&amp;TEXT(ABS($K9-$J9),"[tt]:mm")))))</f>
        <v>00:00</v>
      </c>
      <c r="M9" s="26" t="str">
        <f>IF(OR(F9="N",F9="F"),"0:00",
IF(
OR(
AND(Masterdata!$B$4&lt;&gt;DATE(1900,1,0),Masterdata!$B$4&lt;$E9),
AND(Masterdata!$B$3&lt;&gt;DATE(1900,1,0),Masterdata!$B$3&gt;$E9)
),"0:00",
IF(
$I9&gt;TIME(0,0,0),
IF(
NOT(OR($C9="mandag",$C9="tirsdag",$C9="onsdag",$C9="torsdag",$C9="fredag")),
TEXT($I9,"[tt]:mm"),
IF($I9-$G9&gt;=0,TEXT($I9-$G9,"[tt]:mm"),"-"&amp;TEXT(ABS($I9-$G9),"[tt]:mm"))
),
IF(
NOT(OR($C9="mandag",$C9="tirsdag",$C9="onsdag",$C9="torsdag",$C9="fredag")),
IF($K9-$J9&gt;=0,TEXT($K9-$J9,"[tt]:mm"),"-"&amp;TEXT(ABS($K9-$J9),"[tt]:mm")),
IF(
$K9-$J9-$G9&gt;=0,
TEXT($K9-$J9-$G9,"[tt]:mm"),
"-"&amp;TEXT(ABS($K9-$J9-$G9),"[tt]:mm")
)
)
)
))</f>
        <v>0:00</v>
      </c>
      <c r="N9" s="71" t="str">
        <f>LEFT(M9,1)</f>
        <v>0</v>
      </c>
      <c r="O9" s="25" t="str">
        <f>IF($N9="-",LEFT($M9,3),LEFT($M9,2))</f>
        <v>0:</v>
      </c>
      <c r="P9" s="52" t="str">
        <f>IF($N9="-",MID($M9,5,2),MID($M9,4,2))</f>
        <v>0</v>
      </c>
      <c r="Q9" s="53">
        <f>P9/60</f>
        <v>0</v>
      </c>
      <c r="R9" s="30">
        <f>IF(N9="-",O9-Q9,O9+Q9)</f>
        <v>0</v>
      </c>
      <c r="S9" s="109"/>
      <c r="T9" s="109"/>
      <c r="U9" s="29"/>
      <c r="V9" s="29"/>
      <c r="W9" s="29" t="s">
        <v>42</v>
      </c>
      <c r="X9" s="72">
        <f>$B$1/X8</f>
        <v>7.4</v>
      </c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</row>
    <row r="10" spans="1:45" x14ac:dyDescent="0.3">
      <c r="A10" s="7">
        <f t="shared" ref="A10:A39" si="2">WEEKNUM($B10,21)</f>
        <v>10</v>
      </c>
      <c r="B10" s="8">
        <f>B9+1</f>
        <v>46083</v>
      </c>
      <c r="C10" s="9" t="str" cm="1">
        <f t="array" ref="C10">_xlfn.XLOOKUP(E10,Masterdata!$B$31:$B$44,Masterdata!$A$31:$A$44,_xlfn.SWITCH(WEEKDAY($D10, 2), 1, "mandag", 2, "tirsdag", 3, "onsdag", 4, "torsdag", 5, "fredag", 6, "lørdag", 7, "søndag"),0)</f>
        <v>mandag</v>
      </c>
      <c r="D10" s="29">
        <f t="shared" si="0"/>
        <v>2</v>
      </c>
      <c r="E10" s="70">
        <f t="shared" ref="E10:E39" si="3">$B10</f>
        <v>46083</v>
      </c>
      <c r="F10" s="10" t="s">
        <v>23</v>
      </c>
      <c r="G10" s="12">
        <f>IF(OR(AND(F10="N",NOT(OR(C10="mandag",C10="tirsdag",C10="onsdag",C10="torsdag",C10="fredag"))),F10="F"),0,
        IF(OR(
            AND(Masterdata!$B$4&lt;&gt;DATE(1900,1,0), Masterdata!$B$4&lt;$E10),
            AND(Masterdata!$B$3&lt;&gt;DATE(1900,1,0), Masterdata!$B$3&gt;$E10)
        ),
        0, $X$7/(5-H10)))</f>
        <v>0.30833333333333335</v>
      </c>
      <c r="H10" s="86">
        <f>SUMPRODUCT(COUNTIFS(Februar!$A$9:$A$39,$A10,Februar!$D$9:$D$39,"&lt;7",Februar!$F$9:$F$39,"F")+COUNTIFS($A$9:$A$38,$A10,$D$9:$D$38,"&lt;7",$F$9:$F$38,"F")+COUNTIFS(April!$A$9:$A$39,$A10,April!$D$9:$D$39,"&lt;7",April!$F$9:$F$39,"F"))</f>
        <v>0</v>
      </c>
      <c r="I10" s="11">
        <v>0</v>
      </c>
      <c r="J10" s="11">
        <v>0</v>
      </c>
      <c r="K10" s="11">
        <v>0</v>
      </c>
      <c r="L10" s="26" t="str">
        <f t="shared" si="1"/>
        <v>07:24</v>
      </c>
      <c r="M10" s="26" t="str">
        <f>IF(OR(F10="N",F10="F"),"0:00",
IF(
OR(
AND(Masterdata!$B$4&lt;&gt;DATE(1900,1,0),Masterdata!$B$4&lt;$E10),
AND(Masterdata!$B$3&lt;&gt;DATE(1900,1,0),Masterdata!$B$3&gt;$E10)
),"0:00",
IF(
$I10&gt;TIME(0,0,0),
IF(
NOT(OR($C10="mandag",$C10="tirsdag",$C10="onsdag",$C10="torsdag",$C10="fredag")),
TEXT($I10,"[tt]:mm"),
IF($I10-$G10&gt;=0,TEXT($I10-$G10,"[tt]:mm"),"-"&amp;TEXT(ABS($I10-$G10),"[tt]:mm"))
),
IF(
NOT(OR($C10="mandag",$C10="tirsdag",$C10="onsdag",$C10="torsdag",$C10="fredag")),
IF($K10-$J10&gt;=0,TEXT($K10-$J10,"[tt]:mm"),"-"&amp;TEXT(ABS($K10-$J10),"[tt]:mm")),
IF(
$K10-$J10-$G10&gt;=0,
TEXT($K10-$J10-$G10,"[tt]:mm"),
"-"&amp;TEXT(ABS($K10-$J10-$G10),"[tt]:mm")
)
)
)
))</f>
        <v>0:00</v>
      </c>
      <c r="N10" s="71" t="str">
        <f t="shared" ref="N10:N20" si="4">LEFT(M10,1)</f>
        <v>0</v>
      </c>
      <c r="O10" s="25" t="str">
        <f t="shared" ref="O10:O39" si="5">IF($N10="-",LEFT($M10,3),LEFT($M10,2))</f>
        <v>0:</v>
      </c>
      <c r="P10" s="52" t="str">
        <f t="shared" ref="P10:P39" si="6">IF($N10="-",MID($M10,5,2),MID($M10,4,2))</f>
        <v>0</v>
      </c>
      <c r="Q10" s="53">
        <f t="shared" ref="Q10:Q14" si="7">P10/60</f>
        <v>0</v>
      </c>
      <c r="R10" s="30">
        <f t="shared" ref="R10:R14" si="8">IF(N10="-",O10-Q10,O10+Q10)</f>
        <v>0</v>
      </c>
      <c r="S10" s="109"/>
      <c r="T10" s="109"/>
      <c r="U10" s="29"/>
      <c r="V10" s="29"/>
      <c r="W10" s="29" t="s">
        <v>43</v>
      </c>
      <c r="X10" s="73">
        <f>X9/24</f>
        <v>0.30833333333333335</v>
      </c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</row>
    <row r="11" spans="1:45" x14ac:dyDescent="0.3">
      <c r="A11" s="7">
        <f t="shared" si="2"/>
        <v>10</v>
      </c>
      <c r="B11" s="8">
        <f t="shared" ref="B11:B39" si="9">B10+1</f>
        <v>46084</v>
      </c>
      <c r="C11" s="9" t="str" cm="1">
        <f t="array" ref="C11">_xlfn.XLOOKUP(E11,Masterdata!$B$31:$B$44,Masterdata!$A$31:$A$44,_xlfn.SWITCH(WEEKDAY($D11, 2), 1, "mandag", 2, "tirsdag", 3, "onsdag", 4, "torsdag", 5, "fredag", 6, "lørdag", 7, "søndag"),0)</f>
        <v>tirsdag</v>
      </c>
      <c r="D11" s="29">
        <f t="shared" si="0"/>
        <v>3</v>
      </c>
      <c r="E11" s="70">
        <f t="shared" si="3"/>
        <v>46084</v>
      </c>
      <c r="F11" s="10" t="s">
        <v>23</v>
      </c>
      <c r="G11" s="12">
        <f>IF(OR(AND(F11="N",NOT(OR(C11="mandag",C11="tirsdag",C11="onsdag",C11="torsdag",C11="fredag"))),F11="F"),0,
        IF(OR(
            AND(Masterdata!$B$4&lt;&gt;DATE(1900,1,0), Masterdata!$B$4&lt;$E11),
            AND(Masterdata!$B$3&lt;&gt;DATE(1900,1,0), Masterdata!$B$3&gt;$E11)
        ),
        0, $X$7/(5-H11)))</f>
        <v>0.30833333333333335</v>
      </c>
      <c r="H11" s="86">
        <f>SUMPRODUCT(COUNTIFS(Februar!$A$9:$A$39,$A11,Februar!$D$9:$D$39,"&lt;7",Februar!$F$9:$F$39,"F")+COUNTIFS($A$9:$A$38,$A11,$D$9:$D$38,"&lt;7",$F$9:$F$38,"F")+COUNTIFS(April!$A$9:$A$39,$A11,April!$D$9:$D$39,"&lt;7",April!$F$9:$F$39,"F"))</f>
        <v>0</v>
      </c>
      <c r="I11" s="11">
        <v>0</v>
      </c>
      <c r="J11" s="11">
        <v>0</v>
      </c>
      <c r="K11" s="11">
        <v>0</v>
      </c>
      <c r="L11" s="26" t="str">
        <f t="shared" si="1"/>
        <v>07:24</v>
      </c>
      <c r="M11" s="26" t="str">
        <f>IF(OR(F11="N",F11="F"),"0:00",
IF(
OR(
AND(Masterdata!$B$4&lt;&gt;DATE(1900,1,0),Masterdata!$B$4&lt;$E11),
AND(Masterdata!$B$3&lt;&gt;DATE(1900,1,0),Masterdata!$B$3&gt;$E11)
),"0:00",
IF(
$I11&gt;TIME(0,0,0),
IF(
NOT(OR($C11="mandag",$C11="tirsdag",$C11="onsdag",$C11="torsdag",$C11="fredag")),
TEXT($I11,"[tt]:mm"),
IF($I11-$G11&gt;=0,TEXT($I11-$G11,"[tt]:mm"),"-"&amp;TEXT(ABS($I11-$G11),"[tt]:mm"))
),
IF(
NOT(OR($C11="mandag",$C11="tirsdag",$C11="onsdag",$C11="torsdag",$C11="fredag")),
IF($K11-$J11&gt;=0,TEXT($K11-$J11,"[tt]:mm"),"-"&amp;TEXT(ABS($K11-$J11),"[tt]:mm")),
IF(
$K11-$J11-$G11&gt;=0,
TEXT($K11-$J11-$G11,"[tt]:mm"),
"-"&amp;TEXT(ABS($K11-$J11-$G11),"[tt]:mm")
)
)
)
))</f>
        <v>0:00</v>
      </c>
      <c r="N11" s="71" t="str">
        <f t="shared" si="4"/>
        <v>0</v>
      </c>
      <c r="O11" s="25" t="str">
        <f t="shared" si="5"/>
        <v>0:</v>
      </c>
      <c r="P11" s="52" t="str">
        <f t="shared" si="6"/>
        <v>0</v>
      </c>
      <c r="Q11" s="53">
        <f t="shared" si="7"/>
        <v>0</v>
      </c>
      <c r="R11" s="30">
        <f t="shared" si="8"/>
        <v>0</v>
      </c>
      <c r="S11" s="109"/>
      <c r="T11" s="109"/>
      <c r="U11" s="29" t="s">
        <v>23</v>
      </c>
      <c r="V11" s="29" t="s">
        <v>44</v>
      </c>
      <c r="W11" s="29" t="s">
        <v>45</v>
      </c>
      <c r="X11" s="30">
        <f>(B1/37)*160.33</f>
        <v>160.33000000000001</v>
      </c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</row>
    <row r="12" spans="1:45" x14ac:dyDescent="0.3">
      <c r="A12" s="7">
        <f t="shared" si="2"/>
        <v>10</v>
      </c>
      <c r="B12" s="8">
        <f t="shared" si="9"/>
        <v>46085</v>
      </c>
      <c r="C12" s="9" t="str" cm="1">
        <f t="array" ref="C12">_xlfn.XLOOKUP(E12,Masterdata!$B$31:$B$44,Masterdata!$A$31:$A$44,_xlfn.SWITCH(WEEKDAY($D12, 2), 1, "mandag", 2, "tirsdag", 3, "onsdag", 4, "torsdag", 5, "fredag", 6, "lørdag", 7, "søndag"),0)</f>
        <v>onsdag</v>
      </c>
      <c r="D12" s="29">
        <f t="shared" si="0"/>
        <v>4</v>
      </c>
      <c r="E12" s="70">
        <f t="shared" si="3"/>
        <v>46085</v>
      </c>
      <c r="F12" s="10" t="s">
        <v>23</v>
      </c>
      <c r="G12" s="12">
        <f>IF(OR(AND(F12="N",NOT(OR(C12="mandag",C12="tirsdag",C12="onsdag",C12="torsdag",C12="fredag"))),F12="F"),0,
        IF(OR(
            AND(Masterdata!$B$4&lt;&gt;DATE(1900,1,0), Masterdata!$B$4&lt;$E12),
            AND(Masterdata!$B$3&lt;&gt;DATE(1900,1,0), Masterdata!$B$3&gt;$E12)
        ),
        0, $X$7/(5-H12)))</f>
        <v>0.30833333333333335</v>
      </c>
      <c r="H12" s="86">
        <f>SUMPRODUCT(COUNTIFS(Februar!$A$9:$A$39,$A12,Februar!$D$9:$D$39,"&lt;7",Februar!$F$9:$F$39,"F")+COUNTIFS($A$9:$A$38,$A12,$D$9:$D$38,"&lt;7",$F$9:$F$38,"F")+COUNTIFS(April!$A$9:$A$39,$A12,April!$D$9:$D$39,"&lt;7",April!$F$9:$F$39,"F"))</f>
        <v>0</v>
      </c>
      <c r="I12" s="11">
        <v>0</v>
      </c>
      <c r="J12" s="11">
        <v>0</v>
      </c>
      <c r="K12" s="11">
        <v>0</v>
      </c>
      <c r="L12" s="26" t="str">
        <f t="shared" si="1"/>
        <v>07:24</v>
      </c>
      <c r="M12" s="26" t="str">
        <f>IF(OR(F12="N",F12="F"),"0:00",
IF(
OR(
AND(Masterdata!$B$4&lt;&gt;DATE(1900,1,0),Masterdata!$B$4&lt;$E12),
AND(Masterdata!$B$3&lt;&gt;DATE(1900,1,0),Masterdata!$B$3&gt;$E12)
),"0:00",
IF(
$I12&gt;TIME(0,0,0),
IF(
NOT(OR($C12="mandag",$C12="tirsdag",$C12="onsdag",$C12="torsdag",$C12="fredag")),
TEXT($I12,"[tt]:mm"),
IF($I12-$G12&gt;=0,TEXT($I12-$G12,"[tt]:mm"),"-"&amp;TEXT(ABS($I12-$G12),"[tt]:mm"))
),
IF(
NOT(OR($C12="mandag",$C12="tirsdag",$C12="onsdag",$C12="torsdag",$C12="fredag")),
IF($K12-$J12&gt;=0,TEXT($K12-$J12,"[tt]:mm"),"-"&amp;TEXT(ABS($K12-$J12),"[tt]:mm")),
IF(
$K12-$J12-$G12&gt;=0,
TEXT($K12-$J12-$G12,"[tt]:mm"),
"-"&amp;TEXT(ABS($K12-$J12-$G12),"[tt]:mm")
)
)
)
))</f>
        <v>0:00</v>
      </c>
      <c r="N12" s="71" t="str">
        <f t="shared" si="4"/>
        <v>0</v>
      </c>
      <c r="O12" s="25" t="str">
        <f t="shared" si="5"/>
        <v>0:</v>
      </c>
      <c r="P12" s="52" t="str">
        <f t="shared" si="6"/>
        <v>0</v>
      </c>
      <c r="Q12" s="53">
        <f t="shared" si="7"/>
        <v>0</v>
      </c>
      <c r="R12" s="30">
        <f t="shared" si="8"/>
        <v>0</v>
      </c>
      <c r="S12" s="109"/>
      <c r="T12" s="10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</row>
    <row r="13" spans="1:45" x14ac:dyDescent="0.3">
      <c r="A13" s="7">
        <f t="shared" si="2"/>
        <v>10</v>
      </c>
      <c r="B13" s="8">
        <f t="shared" si="9"/>
        <v>46086</v>
      </c>
      <c r="C13" s="9" t="str" cm="1">
        <f t="array" ref="C13">_xlfn.XLOOKUP(E13,Masterdata!$B$31:$B$44,Masterdata!$A$31:$A$44,_xlfn.SWITCH(WEEKDAY($D13, 2), 1, "mandag", 2, "tirsdag", 3, "onsdag", 4, "torsdag", 5, "fredag", 6, "lørdag", 7, "søndag"),0)</f>
        <v>torsdag</v>
      </c>
      <c r="D13" s="29">
        <f t="shared" si="0"/>
        <v>5</v>
      </c>
      <c r="E13" s="70">
        <f t="shared" si="3"/>
        <v>46086</v>
      </c>
      <c r="F13" s="10" t="s">
        <v>23</v>
      </c>
      <c r="G13" s="12">
        <f>IF(OR(AND(F13="N",NOT(OR(C13="mandag",C13="tirsdag",C13="onsdag",C13="torsdag",C13="fredag"))),F13="F"),0,
        IF(OR(
            AND(Masterdata!$B$4&lt;&gt;DATE(1900,1,0), Masterdata!$B$4&lt;$E13),
            AND(Masterdata!$B$3&lt;&gt;DATE(1900,1,0), Masterdata!$B$3&gt;$E13)
        ),
        0, $X$7/(5-H13)))</f>
        <v>0.30833333333333335</v>
      </c>
      <c r="H13" s="86">
        <f>SUMPRODUCT(COUNTIFS(Februar!$A$9:$A$39,$A13,Februar!$D$9:$D$39,"&lt;7",Februar!$F$9:$F$39,"F")+COUNTIFS($A$9:$A$38,$A13,$D$9:$D$38,"&lt;7",$F$9:$F$38,"F")+COUNTIFS(April!$A$9:$A$39,$A13,April!$D$9:$D$39,"&lt;7",April!$F$9:$F$39,"F"))</f>
        <v>0</v>
      </c>
      <c r="I13" s="11">
        <v>0</v>
      </c>
      <c r="J13" s="11">
        <v>0</v>
      </c>
      <c r="K13" s="11">
        <v>0</v>
      </c>
      <c r="L13" s="26" t="str">
        <f t="shared" si="1"/>
        <v>07:24</v>
      </c>
      <c r="M13" s="26" t="str">
        <f>IF(OR(F13="N",F13="F"),"0:00",
IF(
OR(
AND(Masterdata!$B$4&lt;&gt;DATE(1900,1,0),Masterdata!$B$4&lt;$E13),
AND(Masterdata!$B$3&lt;&gt;DATE(1900,1,0),Masterdata!$B$3&gt;$E13)
),"0:00",
IF(
$I13&gt;TIME(0,0,0),
IF(
NOT(OR($C13="mandag",$C13="tirsdag",$C13="onsdag",$C13="torsdag",$C13="fredag")),
TEXT($I13,"[tt]:mm"),
IF($I13-$G13&gt;=0,TEXT($I13-$G13,"[tt]:mm"),"-"&amp;TEXT(ABS($I13-$G13),"[tt]:mm"))
),
IF(
NOT(OR($C13="mandag",$C13="tirsdag",$C13="onsdag",$C13="torsdag",$C13="fredag")),
IF($K13-$J13&gt;=0,TEXT($K13-$J13,"[tt]:mm"),"-"&amp;TEXT(ABS($K13-$J13),"[tt]:mm")),
IF(
$K13-$J13-$G13&gt;=0,
TEXT($K13-$J13-$G13,"[tt]:mm"),
"-"&amp;TEXT(ABS($K13-$J13-$G13),"[tt]:mm")
)
)
)
))</f>
        <v>0:00</v>
      </c>
      <c r="N13" s="71" t="str">
        <f t="shared" si="4"/>
        <v>0</v>
      </c>
      <c r="O13" s="25" t="str">
        <f t="shared" si="5"/>
        <v>0:</v>
      </c>
      <c r="P13" s="52" t="str">
        <f t="shared" si="6"/>
        <v>0</v>
      </c>
      <c r="Q13" s="53">
        <f t="shared" si="7"/>
        <v>0</v>
      </c>
      <c r="R13" s="30">
        <f t="shared" si="8"/>
        <v>0</v>
      </c>
      <c r="S13" s="109"/>
      <c r="T13" s="109"/>
      <c r="U13" s="29"/>
      <c r="V13" s="29"/>
      <c r="W13" s="29"/>
      <c r="X13" s="30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</row>
    <row r="14" spans="1:45" x14ac:dyDescent="0.3">
      <c r="A14" s="7">
        <f t="shared" si="2"/>
        <v>10</v>
      </c>
      <c r="B14" s="8">
        <f t="shared" si="9"/>
        <v>46087</v>
      </c>
      <c r="C14" s="9" t="str" cm="1">
        <f t="array" ref="C14">_xlfn.XLOOKUP(E14,Masterdata!$B$31:$B$44,Masterdata!$A$31:$A$44,_xlfn.SWITCH(WEEKDAY($D14, 2), 1, "mandag", 2, "tirsdag", 3, "onsdag", 4, "torsdag", 5, "fredag", 6, "lørdag", 7, "søndag"),0)</f>
        <v>fredag</v>
      </c>
      <c r="D14" s="29">
        <f t="shared" si="0"/>
        <v>6</v>
      </c>
      <c r="E14" s="70">
        <f t="shared" si="3"/>
        <v>46087</v>
      </c>
      <c r="F14" s="10" t="s">
        <v>23</v>
      </c>
      <c r="G14" s="12">
        <f>IF(OR(AND(F14="N",NOT(OR(C14="mandag",C14="tirsdag",C14="onsdag",C14="torsdag",C14="fredag"))),F14="F"),0,
        IF(OR(
            AND(Masterdata!$B$4&lt;&gt;DATE(1900,1,0), Masterdata!$B$4&lt;$E14),
            AND(Masterdata!$B$3&lt;&gt;DATE(1900,1,0), Masterdata!$B$3&gt;$E14)
        ),
        0, $X$7/(5-H14)))</f>
        <v>0.30833333333333335</v>
      </c>
      <c r="H14" s="86">
        <f>SUMPRODUCT(COUNTIFS(Februar!$A$9:$A$39,$A14,Februar!$D$9:$D$39,"&lt;7",Februar!$F$9:$F$39,"F")+COUNTIFS($A$9:$A$38,$A14,$D$9:$D$38,"&lt;7",$F$9:$F$38,"F")+COUNTIFS(April!$A$9:$A$39,$A14,April!$D$9:$D$39,"&lt;7",April!$F$9:$F$39,"F"))</f>
        <v>0</v>
      </c>
      <c r="I14" s="11">
        <v>0</v>
      </c>
      <c r="J14" s="11">
        <v>0</v>
      </c>
      <c r="K14" s="11">
        <v>0</v>
      </c>
      <c r="L14" s="26" t="str">
        <f t="shared" si="1"/>
        <v>07:24</v>
      </c>
      <c r="M14" s="26" t="str">
        <f>IF(OR(F14="N",F14="F"),"0:00",
IF(
OR(
AND(Masterdata!$B$4&lt;&gt;DATE(1900,1,0),Masterdata!$B$4&lt;$E14),
AND(Masterdata!$B$3&lt;&gt;DATE(1900,1,0),Masterdata!$B$3&gt;$E14)
),"0:00",
IF(
$I14&gt;TIME(0,0,0),
IF(
NOT(OR($C14="mandag",$C14="tirsdag",$C14="onsdag",$C14="torsdag",$C14="fredag")),
TEXT($I14,"[tt]:mm"),
IF($I14-$G14&gt;=0,TEXT($I14-$G14,"[tt]:mm"),"-"&amp;TEXT(ABS($I14-$G14),"[tt]:mm"))
),
IF(
NOT(OR($C14="mandag",$C14="tirsdag",$C14="onsdag",$C14="torsdag",$C14="fredag")),
IF($K14-$J14&gt;=0,TEXT($K14-$J14,"[tt]:mm"),"-"&amp;TEXT(ABS($K14-$J14),"[tt]:mm")),
IF(
$K14-$J14-$G14&gt;=0,
TEXT($K14-$J14-$G14,"[tt]:mm"),
"-"&amp;TEXT(ABS($K14-$J14-$G14),"[tt]:mm")
)
)
)
))</f>
        <v>0:00</v>
      </c>
      <c r="N14" s="71" t="str">
        <f t="shared" si="4"/>
        <v>0</v>
      </c>
      <c r="O14" s="25" t="str">
        <f t="shared" si="5"/>
        <v>0:</v>
      </c>
      <c r="P14" s="52" t="str">
        <f t="shared" si="6"/>
        <v>0</v>
      </c>
      <c r="Q14" s="53">
        <f t="shared" si="7"/>
        <v>0</v>
      </c>
      <c r="R14" s="30">
        <f t="shared" si="8"/>
        <v>0</v>
      </c>
      <c r="S14" s="98"/>
      <c r="T14" s="98"/>
      <c r="U14" s="29"/>
      <c r="V14" s="29"/>
      <c r="W14" s="29"/>
      <c r="X14" s="74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</row>
    <row r="15" spans="1:45" x14ac:dyDescent="0.3">
      <c r="A15" s="7">
        <f t="shared" si="2"/>
        <v>10</v>
      </c>
      <c r="B15" s="8">
        <f t="shared" si="9"/>
        <v>46088</v>
      </c>
      <c r="C15" s="9" t="str" cm="1">
        <f t="array" ref="C15">_xlfn.XLOOKUP(E15,Masterdata!$B$31:$B$44,Masterdata!$A$31:$A$44,_xlfn.SWITCH(WEEKDAY($D15, 2), 1, "mandag", 2, "tirsdag", 3, "onsdag", 4, "torsdag", 5, "fredag", 6, "lørdag", 7, "søndag"),0)</f>
        <v>lørdag</v>
      </c>
      <c r="D15" s="29">
        <f t="shared" si="0"/>
        <v>7</v>
      </c>
      <c r="E15" s="70">
        <f t="shared" si="3"/>
        <v>46088</v>
      </c>
      <c r="F15" s="10" t="s">
        <v>23</v>
      </c>
      <c r="G15" s="12">
        <f>IF(OR(AND(F15="N",NOT(OR(C15="mandag",C15="tirsdag",C15="onsdag",C15="torsdag",C15="fredag"))),F15="F"),0,
        IF(OR(
            AND(Masterdata!$B$4&lt;&gt;DATE(1900,1,0), Masterdata!$B$4&lt;$E15),
            AND(Masterdata!$B$3&lt;&gt;DATE(1900,1,0), Masterdata!$B$3&gt;$E15)
        ),
        0, $X$7/(5-H15)))</f>
        <v>0</v>
      </c>
      <c r="H15" s="86">
        <f>SUMPRODUCT(COUNTIFS(Februar!$A$9:$A$39,$A15,Februar!$D$9:$D$39,"&lt;7",Februar!$F$9:$F$39,"F")+COUNTIFS($A$9:$A$38,$A15,$D$9:$D$38,"&lt;7",$F$9:$F$38,"F")+COUNTIFS(April!$A$9:$A$39,$A15,April!$D$9:$D$39,"&lt;7",April!$F$9:$F$39,"F"))</f>
        <v>0</v>
      </c>
      <c r="I15" s="11">
        <v>0</v>
      </c>
      <c r="J15" s="11">
        <v>0</v>
      </c>
      <c r="K15" s="11">
        <v>0</v>
      </c>
      <c r="L15" s="26" t="str">
        <f t="shared" si="1"/>
        <v>00:00</v>
      </c>
      <c r="M15" s="26" t="str">
        <f>IF(OR(F15="N",F15="F"),"0:00",
IF(
OR(
AND(Masterdata!$B$4&lt;&gt;DATE(1900,1,0),Masterdata!$B$4&lt;$E15),
AND(Masterdata!$B$3&lt;&gt;DATE(1900,1,0),Masterdata!$B$3&gt;$E15)
),"0:00",
IF(
$I15&gt;TIME(0,0,0),
IF(
NOT(OR($C15="mandag",$C15="tirsdag",$C15="onsdag",$C15="torsdag",$C15="fredag")),
TEXT($I15,"[tt]:mm"),
IF($I15-$G15&gt;=0,TEXT($I15-$G15,"[tt]:mm"),"-"&amp;TEXT(ABS($I15-$G15),"[tt]:mm"))
),
IF(
NOT(OR($C15="mandag",$C15="tirsdag",$C15="onsdag",$C15="torsdag",$C15="fredag")),
IF($K15-$J15&gt;=0,TEXT($K15-$J15,"[tt]:mm"),"-"&amp;TEXT(ABS($K15-$J15),"[tt]:mm")),
IF(
$K15-$J15-$G15&gt;=0,
TEXT($K15-$J15-$G15,"[tt]:mm"),
"-"&amp;TEXT(ABS($K15-$J15-$G15),"[tt]:mm")
)
)
)
))</f>
        <v>0:00</v>
      </c>
      <c r="N15" s="71" t="str">
        <f t="shared" si="4"/>
        <v>0</v>
      </c>
      <c r="O15" s="25" t="str">
        <f t="shared" si="5"/>
        <v>0:</v>
      </c>
      <c r="P15" s="52" t="str">
        <f t="shared" si="6"/>
        <v>0</v>
      </c>
      <c r="Q15" s="53">
        <f>P15/60</f>
        <v>0</v>
      </c>
      <c r="R15" s="30">
        <f>IF(N15="-",O15-Q15,O15+Q15)</f>
        <v>0</v>
      </c>
      <c r="S15" s="98"/>
      <c r="T15" s="98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</row>
    <row r="16" spans="1:45" x14ac:dyDescent="0.3">
      <c r="A16" s="7">
        <f t="shared" si="2"/>
        <v>10</v>
      </c>
      <c r="B16" s="8">
        <f t="shared" si="9"/>
        <v>46089</v>
      </c>
      <c r="C16" s="9" t="str" cm="1">
        <f t="array" ref="C16">_xlfn.XLOOKUP(E16,Masterdata!$B$31:$B$44,Masterdata!$A$31:$A$44,_xlfn.SWITCH(WEEKDAY($D16, 2), 1, "mandag", 2, "tirsdag", 3, "onsdag", 4, "torsdag", 5, "fredag", 6, "lørdag", 7, "søndag"),0)</f>
        <v>søndag</v>
      </c>
      <c r="D16" s="29">
        <f t="shared" si="0"/>
        <v>8</v>
      </c>
      <c r="E16" s="70">
        <f t="shared" si="3"/>
        <v>46089</v>
      </c>
      <c r="F16" s="10" t="s">
        <v>23</v>
      </c>
      <c r="G16" s="12">
        <f>IF(OR(AND(F16="N",NOT(OR(C16="mandag",C16="tirsdag",C16="onsdag",C16="torsdag",C16="fredag"))),F16="F"),0,
        IF(OR(
            AND(Masterdata!$B$4&lt;&gt;DATE(1900,1,0), Masterdata!$B$4&lt;$E16),
            AND(Masterdata!$B$3&lt;&gt;DATE(1900,1,0), Masterdata!$B$3&gt;$E16)
        ),
        0, $X$7/(5-H16)))</f>
        <v>0</v>
      </c>
      <c r="H16" s="86">
        <f>SUMPRODUCT(COUNTIFS(Februar!$A$9:$A$39,$A16,Februar!$D$9:$D$39,"&lt;7",Februar!$F$9:$F$39,"F")+COUNTIFS($A$9:$A$38,$A16,$D$9:$D$38,"&lt;7",$F$9:$F$38,"F")+COUNTIFS(April!$A$9:$A$39,$A16,April!$D$9:$D$39,"&lt;7",April!$F$9:$F$39,"F"))</f>
        <v>0</v>
      </c>
      <c r="I16" s="11">
        <v>0</v>
      </c>
      <c r="J16" s="11">
        <v>0</v>
      </c>
      <c r="K16" s="11">
        <v>0</v>
      </c>
      <c r="L16" s="26" t="str">
        <f>IF($F16="F","00:00",
IF($F16="N",TEXT($G16,"[tt]:mm"),
IF($I16&lt;&gt;0,TEXT($I16,"[tt]:mm"),
IF($K16-$J16&gt;=0,
TEXT($K16-$J16,"[tt]:mm"),
"-"&amp;TEXT(ABS($K16-$J16),"[tt]:mm")))))</f>
        <v>00:00</v>
      </c>
      <c r="M16" s="26" t="str">
        <f>IF(OR(F16="N",F16="F"),"0:00",
IF(
OR(
AND(Masterdata!$B$4&lt;&gt;DATE(1900,1,0),Masterdata!$B$4&lt;$E16),
AND(Masterdata!$B$3&lt;&gt;DATE(1900,1,0),Masterdata!$B$3&gt;$E16)
),"0:00",
IF(
$I16&gt;TIME(0,0,0),
IF(
NOT(OR($C16="mandag",$C16="tirsdag",$C16="onsdag",$C16="torsdag",$C16="fredag")),
TEXT($I16,"[tt]:mm"),
IF($I16-$G16&gt;=0,TEXT($I16-$G16,"[tt]:mm"),"-"&amp;TEXT(ABS($I16-$G16),"[tt]:mm"))
),
IF(
NOT(OR($C16="mandag",$C16="tirsdag",$C16="onsdag",$C16="torsdag",$C16="fredag")),
IF($K16-$J16&gt;=0,TEXT($K16-$J16,"[tt]:mm"),"-"&amp;TEXT(ABS($K16-$J16),"[tt]:mm")),
IF(
$K16-$J16-$G16&gt;=0,
TEXT($K16-$J16-$G16,"[tt]:mm"),
"-"&amp;TEXT(ABS($K16-$J16-$G16),"[tt]:mm")
)
)
)
))</f>
        <v>0:00</v>
      </c>
      <c r="N16" s="71" t="str">
        <f t="shared" si="4"/>
        <v>0</v>
      </c>
      <c r="O16" s="25" t="str">
        <f t="shared" si="5"/>
        <v>0:</v>
      </c>
      <c r="P16" s="52" t="str">
        <f t="shared" si="6"/>
        <v>0</v>
      </c>
      <c r="Q16" s="53">
        <f t="shared" ref="Q16:Q37" si="10">P16/60</f>
        <v>0</v>
      </c>
      <c r="R16" s="30">
        <f t="shared" ref="R16:R20" si="11">IF(N16="-",O16-Q16,O16+Q16)</f>
        <v>0</v>
      </c>
      <c r="S16" s="98"/>
      <c r="T16" s="98"/>
      <c r="U16" s="29" t="s">
        <v>46</v>
      </c>
      <c r="V16" s="29" t="s">
        <v>47</v>
      </c>
      <c r="W16" s="29" t="s">
        <v>48</v>
      </c>
      <c r="X16" s="30">
        <f>X11-X14</f>
        <v>160.33000000000001</v>
      </c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</row>
    <row r="17" spans="1:45" x14ac:dyDescent="0.3">
      <c r="A17" s="7">
        <f t="shared" si="2"/>
        <v>11</v>
      </c>
      <c r="B17" s="8">
        <f t="shared" si="9"/>
        <v>46090</v>
      </c>
      <c r="C17" s="9" t="str" cm="1">
        <f t="array" ref="C17">_xlfn.XLOOKUP(E17,Masterdata!$B$31:$B$44,Masterdata!$A$31:$A$44,_xlfn.SWITCH(WEEKDAY($D17, 2), 1, "mandag", 2, "tirsdag", 3, "onsdag", 4, "torsdag", 5, "fredag", 6, "lørdag", 7, "søndag"),0)</f>
        <v>mandag</v>
      </c>
      <c r="D17" s="29">
        <f t="shared" si="0"/>
        <v>2</v>
      </c>
      <c r="E17" s="70">
        <f t="shared" si="3"/>
        <v>46090</v>
      </c>
      <c r="F17" s="10" t="s">
        <v>23</v>
      </c>
      <c r="G17" s="12">
        <f>IF(OR(AND(F17="N",NOT(OR(C17="mandag",C17="tirsdag",C17="onsdag",C17="torsdag",C17="fredag"))),F17="F"),0,
        IF(OR(
            AND(Masterdata!$B$4&lt;&gt;DATE(1900,1,0), Masterdata!$B$4&lt;$E17),
            AND(Masterdata!$B$3&lt;&gt;DATE(1900,1,0), Masterdata!$B$3&gt;$E17)
        ),
        0, $X$7/(5-H17)))</f>
        <v>0.30833333333333335</v>
      </c>
      <c r="H17" s="86">
        <f>SUMPRODUCT(COUNTIFS(Februar!$A$9:$A$39,$A17,Februar!$D$9:$D$39,"&lt;7",Februar!$F$9:$F$39,"F")+COUNTIFS($A$9:$A$38,$A17,$D$9:$D$38,"&lt;7",$F$9:$F$38,"F")+COUNTIFS(April!$A$9:$A$39,$A17,April!$D$9:$D$39,"&lt;7",April!$F$9:$F$39,"F"))</f>
        <v>0</v>
      </c>
      <c r="I17" s="11">
        <v>0</v>
      </c>
      <c r="J17" s="11">
        <v>0</v>
      </c>
      <c r="K17" s="11">
        <v>0</v>
      </c>
      <c r="L17" s="26" t="str">
        <f t="shared" ref="L17:L39" si="12">IF($F17="F","00:00",
IF($F17="N",TEXT($G17,"[tt]:mm"),
IF($I17&lt;&gt;0,TEXT($I17,"[tt]:mm"),
IF($K17-$J17&gt;=0,
TEXT($K17-$J17,"[tt]:mm"),
"-"&amp;TEXT(ABS($K17-$J17),"[tt]:mm")))))</f>
        <v>07:24</v>
      </c>
      <c r="M17" s="26" t="str">
        <f>IF(OR(F17="N",F17="F"),"0:00",
IF(
OR(
AND(Masterdata!$B$4&lt;&gt;DATE(1900,1,0),Masterdata!$B$4&lt;$E17),
AND(Masterdata!$B$3&lt;&gt;DATE(1900,1,0),Masterdata!$B$3&gt;$E17)
),"0:00",
IF(
$I17&gt;TIME(0,0,0),
IF(
NOT(OR($C17="mandag",$C17="tirsdag",$C17="onsdag",$C17="torsdag",$C17="fredag")),
TEXT($I17,"[tt]:mm"),
IF($I17-$G17&gt;=0,TEXT($I17-$G17,"[tt]:mm"),"-"&amp;TEXT(ABS($I17-$G17),"[tt]:mm"))
),
IF(
NOT(OR($C17="mandag",$C17="tirsdag",$C17="onsdag",$C17="torsdag",$C17="fredag")),
IF($K17-$J17&gt;=0,TEXT($K17-$J17,"[tt]:mm"),"-"&amp;TEXT(ABS($K17-$J17),"[tt]:mm")),
IF(
$K17-$J17-$G17&gt;=0,
TEXT($K17-$J17-$G17,"[tt]:mm"),
"-"&amp;TEXT(ABS($K17-$J17-$G17),"[tt]:mm")
)
)
)
))</f>
        <v>0:00</v>
      </c>
      <c r="N17" s="71" t="str">
        <f t="shared" si="4"/>
        <v>0</v>
      </c>
      <c r="O17" s="25" t="str">
        <f t="shared" si="5"/>
        <v>0:</v>
      </c>
      <c r="P17" s="52" t="str">
        <f t="shared" si="6"/>
        <v>0</v>
      </c>
      <c r="Q17" s="53">
        <f t="shared" si="10"/>
        <v>0</v>
      </c>
      <c r="R17" s="30">
        <f t="shared" si="11"/>
        <v>0</v>
      </c>
      <c r="S17" s="98"/>
      <c r="T17" s="98"/>
      <c r="U17" s="29" t="s">
        <v>49</v>
      </c>
      <c r="V17" s="29" t="s">
        <v>50</v>
      </c>
      <c r="W17" s="29" t="s">
        <v>51</v>
      </c>
      <c r="X17" s="30" t="e">
        <f>SUM(#REF!)</f>
        <v>#REF!</v>
      </c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</row>
    <row r="18" spans="1:45" x14ac:dyDescent="0.3">
      <c r="A18" s="7">
        <f t="shared" si="2"/>
        <v>11</v>
      </c>
      <c r="B18" s="8">
        <f t="shared" si="9"/>
        <v>46091</v>
      </c>
      <c r="C18" s="9" t="str" cm="1">
        <f t="array" ref="C18">_xlfn.XLOOKUP(E18,Masterdata!$B$31:$B$44,Masterdata!$A$31:$A$44,_xlfn.SWITCH(WEEKDAY($D18, 2), 1, "mandag", 2, "tirsdag", 3, "onsdag", 4, "torsdag", 5, "fredag", 6, "lørdag", 7, "søndag"),0)</f>
        <v>tirsdag</v>
      </c>
      <c r="D18" s="29">
        <f t="shared" si="0"/>
        <v>3</v>
      </c>
      <c r="E18" s="70">
        <f t="shared" si="3"/>
        <v>46091</v>
      </c>
      <c r="F18" s="10" t="s">
        <v>23</v>
      </c>
      <c r="G18" s="12">
        <f>IF(OR(AND(F18="N",NOT(OR(C18="mandag",C18="tirsdag",C18="onsdag",C18="torsdag",C18="fredag"))),F18="F"),0,
        IF(OR(
            AND(Masterdata!$B$4&lt;&gt;DATE(1900,1,0), Masterdata!$B$4&lt;$E18),
            AND(Masterdata!$B$3&lt;&gt;DATE(1900,1,0), Masterdata!$B$3&gt;$E18)
        ),
        0, $X$7/(5-H18)))</f>
        <v>0.30833333333333335</v>
      </c>
      <c r="H18" s="86">
        <f>SUMPRODUCT(COUNTIFS(Februar!$A$9:$A$39,$A18,Februar!$D$9:$D$39,"&lt;7",Februar!$F$9:$F$39,"F")+COUNTIFS($A$9:$A$38,$A18,$D$9:$D$38,"&lt;7",$F$9:$F$38,"F")+COUNTIFS(April!$A$9:$A$39,$A18,April!$D$9:$D$39,"&lt;7",April!$F$9:$F$39,"F"))</f>
        <v>0</v>
      </c>
      <c r="I18" s="11">
        <v>0</v>
      </c>
      <c r="J18" s="11">
        <v>0</v>
      </c>
      <c r="K18" s="11">
        <v>0</v>
      </c>
      <c r="L18" s="26" t="str">
        <f t="shared" si="12"/>
        <v>07:24</v>
      </c>
      <c r="M18" s="26" t="str">
        <f>IF(OR(F18="N",F18="F"),"0:00",
IF(
OR(
AND(Masterdata!$B$4&lt;&gt;DATE(1900,1,0),Masterdata!$B$4&lt;$E18),
AND(Masterdata!$B$3&lt;&gt;DATE(1900,1,0),Masterdata!$B$3&gt;$E18)
),"0:00",
IF(
$I18&gt;TIME(0,0,0),
IF(
NOT(OR($C18="mandag",$C18="tirsdag",$C18="onsdag",$C18="torsdag",$C18="fredag")),
TEXT($I18,"[tt]:mm"),
IF($I18-$G18&gt;=0,TEXT($I18-$G18,"[tt]:mm"),"-"&amp;TEXT(ABS($I18-$G18),"[tt]:mm"))
),
IF(
NOT(OR($C18="mandag",$C18="tirsdag",$C18="onsdag",$C18="torsdag",$C18="fredag")),
IF($K18-$J18&gt;=0,TEXT($K18-$J18,"[tt]:mm"),"-"&amp;TEXT(ABS($K18-$J18),"[tt]:mm")),
IF(
$K18-$J18-$G18&gt;=0,
TEXT($K18-$J18-$G18,"[tt]:mm"),
"-"&amp;TEXT(ABS($K18-$J18-$G18),"[tt]:mm")
)
)
)
))</f>
        <v>0:00</v>
      </c>
      <c r="N18" s="71" t="str">
        <f t="shared" si="4"/>
        <v>0</v>
      </c>
      <c r="O18" s="25" t="str">
        <f t="shared" si="5"/>
        <v>0:</v>
      </c>
      <c r="P18" s="52" t="str">
        <f t="shared" si="6"/>
        <v>0</v>
      </c>
      <c r="Q18" s="53">
        <f t="shared" si="10"/>
        <v>0</v>
      </c>
      <c r="R18" s="30">
        <f t="shared" si="11"/>
        <v>0</v>
      </c>
      <c r="S18" s="98"/>
      <c r="T18" s="98"/>
      <c r="U18" s="29" t="s">
        <v>25</v>
      </c>
      <c r="V18" s="29" t="s">
        <v>52</v>
      </c>
      <c r="W18" s="29" t="s">
        <v>53</v>
      </c>
      <c r="X18" s="30" t="e">
        <f>X16-X17</f>
        <v>#REF!</v>
      </c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</row>
    <row r="19" spans="1:45" x14ac:dyDescent="0.3">
      <c r="A19" s="7">
        <f t="shared" si="2"/>
        <v>11</v>
      </c>
      <c r="B19" s="8">
        <f t="shared" si="9"/>
        <v>46092</v>
      </c>
      <c r="C19" s="9" t="str" cm="1">
        <f t="array" ref="C19">_xlfn.XLOOKUP(E19,Masterdata!$B$31:$B$44,Masterdata!$A$31:$A$44,_xlfn.SWITCH(WEEKDAY($D19, 2), 1, "mandag", 2, "tirsdag", 3, "onsdag", 4, "torsdag", 5, "fredag", 6, "lørdag", 7, "søndag"),0)</f>
        <v>onsdag</v>
      </c>
      <c r="D19" s="29">
        <f t="shared" si="0"/>
        <v>4</v>
      </c>
      <c r="E19" s="70">
        <f t="shared" si="3"/>
        <v>46092</v>
      </c>
      <c r="F19" s="10" t="s">
        <v>23</v>
      </c>
      <c r="G19" s="12">
        <f>IF(OR(AND(F19="N",NOT(OR(C19="mandag",C19="tirsdag",C19="onsdag",C19="torsdag",C19="fredag"))),F19="F"),0,
        IF(OR(
            AND(Masterdata!$B$4&lt;&gt;DATE(1900,1,0), Masterdata!$B$4&lt;$E19),
            AND(Masterdata!$B$3&lt;&gt;DATE(1900,1,0), Masterdata!$B$3&gt;$E19)
        ),
        0, $X$7/(5-H19)))</f>
        <v>0.30833333333333335</v>
      </c>
      <c r="H19" s="86">
        <f>SUMPRODUCT(COUNTIFS(Februar!$A$9:$A$39,$A19,Februar!$D$9:$D$39,"&lt;7",Februar!$F$9:$F$39,"F")+COUNTIFS($A$9:$A$38,$A19,$D$9:$D$38,"&lt;7",$F$9:$F$38,"F")+COUNTIFS(April!$A$9:$A$39,$A19,April!$D$9:$D$39,"&lt;7",April!$F$9:$F$39,"F"))</f>
        <v>0</v>
      </c>
      <c r="I19" s="11">
        <v>0</v>
      </c>
      <c r="J19" s="11">
        <v>0</v>
      </c>
      <c r="K19" s="11">
        <v>0</v>
      </c>
      <c r="L19" s="26" t="str">
        <f t="shared" si="12"/>
        <v>07:24</v>
      </c>
      <c r="M19" s="26" t="str">
        <f>IF(OR(F19="N",F19="F"),"0:00",
IF(
OR(
AND(Masterdata!$B$4&lt;&gt;DATE(1900,1,0),Masterdata!$B$4&lt;$E19),
AND(Masterdata!$B$3&lt;&gt;DATE(1900,1,0),Masterdata!$B$3&gt;$E19)
),"0:00",
IF(
$I19&gt;TIME(0,0,0),
IF(
NOT(OR($C19="mandag",$C19="tirsdag",$C19="onsdag",$C19="torsdag",$C19="fredag")),
TEXT($I19,"[tt]:mm"),
IF($I19-$G19&gt;=0,TEXT($I19-$G19,"[tt]:mm"),"-"&amp;TEXT(ABS($I19-$G19),"[tt]:mm"))
),
IF(
NOT(OR($C19="mandag",$C19="tirsdag",$C19="onsdag",$C19="torsdag",$C19="fredag")),
IF($K19-$J19&gt;=0,TEXT($K19-$J19,"[tt]:mm"),"-"&amp;TEXT(ABS($K19-$J19),"[tt]:mm")),
IF(
$K19-$J19-$G19&gt;=0,
TEXT($K19-$J19-$G19,"[tt]:mm"),
"-"&amp;TEXT(ABS($K19-$J19-$G19),"[tt]:mm")
)
)
)
))</f>
        <v>0:00</v>
      </c>
      <c r="N19" s="71" t="str">
        <f t="shared" si="4"/>
        <v>0</v>
      </c>
      <c r="O19" s="25" t="str">
        <f t="shared" si="5"/>
        <v>0:</v>
      </c>
      <c r="P19" s="52" t="str">
        <f t="shared" si="6"/>
        <v>0</v>
      </c>
      <c r="Q19" s="53">
        <f t="shared" si="10"/>
        <v>0</v>
      </c>
      <c r="R19" s="30">
        <f t="shared" si="11"/>
        <v>0</v>
      </c>
      <c r="S19" s="98"/>
      <c r="T19" s="98"/>
      <c r="U19" s="29"/>
      <c r="V19" s="29"/>
      <c r="W19" s="70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</row>
    <row r="20" spans="1:45" x14ac:dyDescent="0.3">
      <c r="A20" s="7">
        <f t="shared" si="2"/>
        <v>11</v>
      </c>
      <c r="B20" s="8">
        <f t="shared" si="9"/>
        <v>46093</v>
      </c>
      <c r="C20" s="9" t="str" cm="1">
        <f t="array" ref="C20">_xlfn.XLOOKUP(E20,Masterdata!$B$31:$B$44,Masterdata!$A$31:$A$44,_xlfn.SWITCH(WEEKDAY($D20, 2), 1, "mandag", 2, "tirsdag", 3, "onsdag", 4, "torsdag", 5, "fredag", 6, "lørdag", 7, "søndag"),0)</f>
        <v>torsdag</v>
      </c>
      <c r="D20" s="29">
        <f t="shared" si="0"/>
        <v>5</v>
      </c>
      <c r="E20" s="70">
        <f t="shared" si="3"/>
        <v>46093</v>
      </c>
      <c r="F20" s="10" t="s">
        <v>23</v>
      </c>
      <c r="G20" s="12">
        <f>IF(OR(AND(F20="N",NOT(OR(C20="mandag",C20="tirsdag",C20="onsdag",C20="torsdag",C20="fredag"))),F20="F"),0,
        IF(OR(
            AND(Masterdata!$B$4&lt;&gt;DATE(1900,1,0), Masterdata!$B$4&lt;$E20),
            AND(Masterdata!$B$3&lt;&gt;DATE(1900,1,0), Masterdata!$B$3&gt;$E20)
        ),
        0, $X$7/(5-H20)))</f>
        <v>0.30833333333333335</v>
      </c>
      <c r="H20" s="86">
        <f>SUMPRODUCT(COUNTIFS(Februar!$A$9:$A$39,$A20,Februar!$D$9:$D$39,"&lt;7",Februar!$F$9:$F$39,"F")+COUNTIFS($A$9:$A$38,$A20,$D$9:$D$38,"&lt;7",$F$9:$F$38,"F")+COUNTIFS(April!$A$9:$A$39,$A20,April!$D$9:$D$39,"&lt;7",April!$F$9:$F$39,"F"))</f>
        <v>0</v>
      </c>
      <c r="I20" s="11">
        <v>0</v>
      </c>
      <c r="J20" s="11">
        <v>0</v>
      </c>
      <c r="K20" s="11">
        <v>0</v>
      </c>
      <c r="L20" s="26" t="str">
        <f t="shared" si="12"/>
        <v>07:24</v>
      </c>
      <c r="M20" s="26" t="str">
        <f>IF(OR(F20="N",F20="F"),"0:00",
IF(
OR(
AND(Masterdata!$B$4&lt;&gt;DATE(1900,1,0),Masterdata!$B$4&lt;$E20),
AND(Masterdata!$B$3&lt;&gt;DATE(1900,1,0),Masterdata!$B$3&gt;$E20)
),"0:00",
IF(
$I20&gt;TIME(0,0,0),
IF(
NOT(OR($C20="mandag",$C20="tirsdag",$C20="onsdag",$C20="torsdag",$C20="fredag")),
TEXT($I20,"[tt]:mm"),
IF($I20-$G20&gt;=0,TEXT($I20-$G20,"[tt]:mm"),"-"&amp;TEXT(ABS($I20-$G20),"[tt]:mm"))
),
IF(
NOT(OR($C20="mandag",$C20="tirsdag",$C20="onsdag",$C20="torsdag",$C20="fredag")),
IF($K20-$J20&gt;=0,TEXT($K20-$J20,"[tt]:mm"),"-"&amp;TEXT(ABS($K20-$J20),"[tt]:mm")),
IF(
$K20-$J20-$G20&gt;=0,
TEXT($K20-$J20-$G20,"[tt]:mm"),
"-"&amp;TEXT(ABS($K20-$J20-$G20),"[tt]:mm")
)
)
)
))</f>
        <v>0:00</v>
      </c>
      <c r="N20" s="71" t="str">
        <f t="shared" si="4"/>
        <v>0</v>
      </c>
      <c r="O20" s="25" t="str">
        <f t="shared" si="5"/>
        <v>0:</v>
      </c>
      <c r="P20" s="52" t="str">
        <f t="shared" si="6"/>
        <v>0</v>
      </c>
      <c r="Q20" s="53">
        <f t="shared" si="10"/>
        <v>0</v>
      </c>
      <c r="R20" s="30">
        <f t="shared" si="11"/>
        <v>0</v>
      </c>
      <c r="S20" s="98"/>
      <c r="T20" s="98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</row>
    <row r="21" spans="1:45" x14ac:dyDescent="0.3">
      <c r="A21" s="7">
        <f t="shared" si="2"/>
        <v>11</v>
      </c>
      <c r="B21" s="8">
        <f t="shared" si="9"/>
        <v>46094</v>
      </c>
      <c r="C21" s="9" t="str" cm="1">
        <f t="array" ref="C21">_xlfn.XLOOKUP(E21,Masterdata!$B$31:$B$44,Masterdata!$A$31:$A$44,_xlfn.SWITCH(WEEKDAY($D21, 2), 1, "mandag", 2, "tirsdag", 3, "onsdag", 4, "torsdag", 5, "fredag", 6, "lørdag", 7, "søndag"),0)</f>
        <v>fredag</v>
      </c>
      <c r="D21" s="29">
        <f t="shared" si="0"/>
        <v>6</v>
      </c>
      <c r="E21" s="70">
        <f t="shared" si="3"/>
        <v>46094</v>
      </c>
      <c r="F21" s="10" t="s">
        <v>23</v>
      </c>
      <c r="G21" s="12">
        <f>IF(OR(AND(F21="N",NOT(OR(C21="mandag",C21="tirsdag",C21="onsdag",C21="torsdag",C21="fredag"))),F21="F"),0,
        IF(OR(
            AND(Masterdata!$B$4&lt;&gt;DATE(1900,1,0), Masterdata!$B$4&lt;$E21),
            AND(Masterdata!$B$3&lt;&gt;DATE(1900,1,0), Masterdata!$B$3&gt;$E21)
        ),
        0, $X$7/(5-H21)))</f>
        <v>0.30833333333333335</v>
      </c>
      <c r="H21" s="86">
        <f>SUMPRODUCT(COUNTIFS(Februar!$A$9:$A$39,$A21,Februar!$D$9:$D$39,"&lt;7",Februar!$F$9:$F$39,"F")+COUNTIFS($A$9:$A$38,$A21,$D$9:$D$38,"&lt;7",$F$9:$F$38,"F")+COUNTIFS(April!$A$9:$A$39,$A21,April!$D$9:$D$39,"&lt;7",April!$F$9:$F$39,"F"))</f>
        <v>0</v>
      </c>
      <c r="I21" s="11">
        <v>0</v>
      </c>
      <c r="J21" s="11">
        <v>0</v>
      </c>
      <c r="K21" s="11">
        <v>0</v>
      </c>
      <c r="L21" s="26" t="str">
        <f t="shared" si="12"/>
        <v>07:24</v>
      </c>
      <c r="M21" s="26" t="str">
        <f>IF(OR(F21="N",F21="F"),"0:00",
IF(
OR(
AND(Masterdata!$B$4&lt;&gt;DATE(1900,1,0),Masterdata!$B$4&lt;$E21),
AND(Masterdata!$B$3&lt;&gt;DATE(1900,1,0),Masterdata!$B$3&gt;$E21)
),"0:00",
IF(
$I21&gt;TIME(0,0,0),
IF(
NOT(OR($C21="mandag",$C21="tirsdag",$C21="onsdag",$C21="torsdag",$C21="fredag")),
TEXT($I21,"[tt]:mm"),
IF($I21-$G21&gt;=0,TEXT($I21-$G21,"[tt]:mm"),"-"&amp;TEXT(ABS($I21-$G21),"[tt]:mm"))
),
IF(
NOT(OR($C21="mandag",$C21="tirsdag",$C21="onsdag",$C21="torsdag",$C21="fredag")),
IF($K21-$J21&gt;=0,TEXT($K21-$J21,"[tt]:mm"),"-"&amp;TEXT(ABS($K21-$J21),"[tt]:mm")),
IF(
$K21-$J21-$G21&gt;=0,
TEXT($K21-$J21-$G21,"[tt]:mm"),
"-"&amp;TEXT(ABS($K21-$J21-$G21),"[tt]:mm")
)
)
)
))</f>
        <v>0:00</v>
      </c>
      <c r="N21" s="71" t="str">
        <f>LEFT(M21,1)</f>
        <v>0</v>
      </c>
      <c r="O21" s="25" t="str">
        <f t="shared" si="5"/>
        <v>0:</v>
      </c>
      <c r="P21" s="52" t="str">
        <f t="shared" si="6"/>
        <v>0</v>
      </c>
      <c r="Q21" s="53">
        <f t="shared" si="10"/>
        <v>0</v>
      </c>
      <c r="R21" s="30">
        <f>IF(N21="-",O21-Q21,O21+Q21)</f>
        <v>0</v>
      </c>
      <c r="S21" s="98"/>
      <c r="T21" s="98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</row>
    <row r="22" spans="1:45" x14ac:dyDescent="0.3">
      <c r="A22" s="7">
        <f t="shared" si="2"/>
        <v>11</v>
      </c>
      <c r="B22" s="8">
        <f t="shared" si="9"/>
        <v>46095</v>
      </c>
      <c r="C22" s="9" t="str" cm="1">
        <f t="array" ref="C22">_xlfn.XLOOKUP(E22,Masterdata!$B$31:$B$44,Masterdata!$A$31:$A$44,_xlfn.SWITCH(WEEKDAY($D22, 2), 1, "mandag", 2, "tirsdag", 3, "onsdag", 4, "torsdag", 5, "fredag", 6, "lørdag", 7, "søndag"),0)</f>
        <v>lørdag</v>
      </c>
      <c r="D22" s="29">
        <f t="shared" si="0"/>
        <v>7</v>
      </c>
      <c r="E22" s="70">
        <f t="shared" si="3"/>
        <v>46095</v>
      </c>
      <c r="F22" s="10" t="s">
        <v>23</v>
      </c>
      <c r="G22" s="12">
        <f>IF(OR(AND(F22="N",NOT(OR(C22="mandag",C22="tirsdag",C22="onsdag",C22="torsdag",C22="fredag"))),F22="F"),0,
        IF(OR(
            AND(Masterdata!$B$4&lt;&gt;DATE(1900,1,0), Masterdata!$B$4&lt;$E22),
            AND(Masterdata!$B$3&lt;&gt;DATE(1900,1,0), Masterdata!$B$3&gt;$E22)
        ),
        0, $X$7/(5-H22)))</f>
        <v>0</v>
      </c>
      <c r="H22" s="86">
        <f>SUMPRODUCT(COUNTIFS(Februar!$A$9:$A$39,$A22,Februar!$D$9:$D$39,"&lt;7",Februar!$F$9:$F$39,"F")+COUNTIFS($A$9:$A$38,$A22,$D$9:$D$38,"&lt;7",$F$9:$F$38,"F")+COUNTIFS(April!$A$9:$A$39,$A22,April!$D$9:$D$39,"&lt;7",April!$F$9:$F$39,"F"))</f>
        <v>0</v>
      </c>
      <c r="I22" s="11">
        <v>0</v>
      </c>
      <c r="J22" s="11">
        <v>0</v>
      </c>
      <c r="K22" s="11">
        <v>0</v>
      </c>
      <c r="L22" s="26" t="str">
        <f t="shared" si="12"/>
        <v>00:00</v>
      </c>
      <c r="M22" s="26" t="str">
        <f>IF(OR(F22="N",F22="F"),"0:00",
IF(
OR(
AND(Masterdata!$B$4&lt;&gt;DATE(1900,1,0),Masterdata!$B$4&lt;$E22),
AND(Masterdata!$B$3&lt;&gt;DATE(1900,1,0),Masterdata!$B$3&gt;$E22)
),"0:00",
IF(
$I22&gt;TIME(0,0,0),
IF(
NOT(OR($C22="mandag",$C22="tirsdag",$C22="onsdag",$C22="torsdag",$C22="fredag")),
TEXT($I22,"[tt]:mm"),
IF($I22-$G22&gt;=0,TEXT($I22-$G22,"[tt]:mm"),"-"&amp;TEXT(ABS($I22-$G22),"[tt]:mm"))
),
IF(
NOT(OR($C22="mandag",$C22="tirsdag",$C22="onsdag",$C22="torsdag",$C22="fredag")),
IF($K22-$J22&gt;=0,TEXT($K22-$J22,"[tt]:mm"),"-"&amp;TEXT(ABS($K22-$J22),"[tt]:mm")),
IF(
$K22-$J22-$G22&gt;=0,
TEXT($K22-$J22-$G22,"[tt]:mm"),
"-"&amp;TEXT(ABS($K22-$J22-$G22),"[tt]:mm")
)
)
)
))</f>
        <v>0:00</v>
      </c>
      <c r="N22" s="71" t="str">
        <f t="shared" ref="N22:N37" si="13">LEFT(M22,1)</f>
        <v>0</v>
      </c>
      <c r="O22" s="25" t="str">
        <f t="shared" si="5"/>
        <v>0:</v>
      </c>
      <c r="P22" s="52" t="str">
        <f t="shared" si="6"/>
        <v>0</v>
      </c>
      <c r="Q22" s="53">
        <f t="shared" si="10"/>
        <v>0</v>
      </c>
      <c r="R22" s="30">
        <f t="shared" ref="R22:R37" si="14">IF(N22="-",O22-Q22,O22+Q22)</f>
        <v>0</v>
      </c>
      <c r="S22" s="98"/>
      <c r="T22" s="98"/>
      <c r="U22" s="29"/>
      <c r="V22" s="29"/>
      <c r="W22" s="29" t="s">
        <v>124</v>
      </c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</row>
    <row r="23" spans="1:45" x14ac:dyDescent="0.3">
      <c r="A23" s="7">
        <f t="shared" si="2"/>
        <v>11</v>
      </c>
      <c r="B23" s="8">
        <f t="shared" si="9"/>
        <v>46096</v>
      </c>
      <c r="C23" s="9" t="str" cm="1">
        <f t="array" ref="C23">_xlfn.XLOOKUP(E23,Masterdata!$B$31:$B$44,Masterdata!$A$31:$A$44,_xlfn.SWITCH(WEEKDAY($D23, 2), 1, "mandag", 2, "tirsdag", 3, "onsdag", 4, "torsdag", 5, "fredag", 6, "lørdag", 7, "søndag"),0)</f>
        <v>søndag</v>
      </c>
      <c r="D23" s="29">
        <f t="shared" si="0"/>
        <v>8</v>
      </c>
      <c r="E23" s="70">
        <f t="shared" si="3"/>
        <v>46096</v>
      </c>
      <c r="F23" s="10" t="s">
        <v>23</v>
      </c>
      <c r="G23" s="12">
        <f>IF(OR(AND(F23="N",NOT(OR(C23="mandag",C23="tirsdag",C23="onsdag",C23="torsdag",C23="fredag"))),F23="F"),0,
        IF(OR(
            AND(Masterdata!$B$4&lt;&gt;DATE(1900,1,0), Masterdata!$B$4&lt;$E23),
            AND(Masterdata!$B$3&lt;&gt;DATE(1900,1,0), Masterdata!$B$3&gt;$E23)
        ),
        0, $X$7/(5-H23)))</f>
        <v>0</v>
      </c>
      <c r="H23" s="86">
        <f>SUMPRODUCT(COUNTIFS(Februar!$A$9:$A$39,$A23,Februar!$D$9:$D$39,"&lt;7",Februar!$F$9:$F$39,"F")+COUNTIFS($A$9:$A$38,$A23,$D$9:$D$38,"&lt;7",$F$9:$F$38,"F")+COUNTIFS(April!$A$9:$A$39,$A23,April!$D$9:$D$39,"&lt;7",April!$F$9:$F$39,"F"))</f>
        <v>0</v>
      </c>
      <c r="I23" s="11">
        <v>0</v>
      </c>
      <c r="J23" s="11">
        <v>0</v>
      </c>
      <c r="K23" s="11">
        <v>0</v>
      </c>
      <c r="L23" s="26" t="str">
        <f t="shared" si="12"/>
        <v>00:00</v>
      </c>
      <c r="M23" s="26" t="str">
        <f>IF(OR(F23="N",F23="F"),"0:00",
IF(
OR(
AND(Masterdata!$B$4&lt;&gt;DATE(1900,1,0),Masterdata!$B$4&lt;$E23),
AND(Masterdata!$B$3&lt;&gt;DATE(1900,1,0),Masterdata!$B$3&gt;$E23)
),"0:00",
IF(
$I23&gt;TIME(0,0,0),
IF(
NOT(OR($C23="mandag",$C23="tirsdag",$C23="onsdag",$C23="torsdag",$C23="fredag")),
TEXT($I23,"[tt]:mm"),
IF($I23-$G23&gt;=0,TEXT($I23-$G23,"[tt]:mm"),"-"&amp;TEXT(ABS($I23-$G23),"[tt]:mm"))
),
IF(
NOT(OR($C23="mandag",$C23="tirsdag",$C23="onsdag",$C23="torsdag",$C23="fredag")),
IF($K23-$J23&gt;=0,TEXT($K23-$J23,"[tt]:mm"),"-"&amp;TEXT(ABS($K23-$J23),"[tt]:mm")),
IF(
$K23-$J23-$G23&gt;=0,
TEXT($K23-$J23-$G23,"[tt]:mm"),
"-"&amp;TEXT(ABS($K23-$J23-$G23),"[tt]:mm")
)
)
)
))</f>
        <v>0:00</v>
      </c>
      <c r="N23" s="71" t="str">
        <f t="shared" si="13"/>
        <v>0</v>
      </c>
      <c r="O23" s="25" t="str">
        <f t="shared" si="5"/>
        <v>0:</v>
      </c>
      <c r="P23" s="52" t="str">
        <f t="shared" si="6"/>
        <v>0</v>
      </c>
      <c r="Q23" s="53">
        <f t="shared" si="10"/>
        <v>0</v>
      </c>
      <c r="R23" s="30">
        <f t="shared" si="14"/>
        <v>0</v>
      </c>
      <c r="S23" s="98"/>
      <c r="T23" s="98"/>
      <c r="U23" s="29"/>
      <c r="V23" s="29"/>
      <c r="W23" s="29" t="s">
        <v>125</v>
      </c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</row>
    <row r="24" spans="1:45" x14ac:dyDescent="0.3">
      <c r="A24" s="7">
        <f t="shared" si="2"/>
        <v>12</v>
      </c>
      <c r="B24" s="8">
        <f t="shared" si="9"/>
        <v>46097</v>
      </c>
      <c r="C24" s="9" t="str" cm="1">
        <f t="array" ref="C24">_xlfn.XLOOKUP(E24,Masterdata!$B$31:$B$44,Masterdata!$A$31:$A$44,_xlfn.SWITCH(WEEKDAY($D24, 2), 1, "mandag", 2, "tirsdag", 3, "onsdag", 4, "torsdag", 5, "fredag", 6, "lørdag", 7, "søndag"),0)</f>
        <v>mandag</v>
      </c>
      <c r="D24" s="29">
        <f t="shared" si="0"/>
        <v>2</v>
      </c>
      <c r="E24" s="70">
        <f t="shared" si="3"/>
        <v>46097</v>
      </c>
      <c r="F24" s="10" t="s">
        <v>23</v>
      </c>
      <c r="G24" s="12">
        <f>IF(OR(AND(F24="N",NOT(OR(C24="mandag",C24="tirsdag",C24="onsdag",C24="torsdag",C24="fredag"))),F24="F"),0,
        IF(OR(
            AND(Masterdata!$B$4&lt;&gt;DATE(1900,1,0), Masterdata!$B$4&lt;$E24),
            AND(Masterdata!$B$3&lt;&gt;DATE(1900,1,0), Masterdata!$B$3&gt;$E24)
        ),
        0, $X$7/(5-H24)))</f>
        <v>0.30833333333333335</v>
      </c>
      <c r="H24" s="86">
        <f>SUMPRODUCT(COUNTIFS(Februar!$A$9:$A$39,$A24,Februar!$D$9:$D$39,"&lt;7",Februar!$F$9:$F$39,"F")+COUNTIFS($A$9:$A$38,$A24,$D$9:$D$38,"&lt;7",$F$9:$F$38,"F")+COUNTIFS(April!$A$9:$A$39,$A24,April!$D$9:$D$39,"&lt;7",April!$F$9:$F$39,"F"))</f>
        <v>0</v>
      </c>
      <c r="I24" s="11">
        <v>0</v>
      </c>
      <c r="J24" s="11">
        <v>0</v>
      </c>
      <c r="K24" s="11">
        <v>0</v>
      </c>
      <c r="L24" s="26" t="str">
        <f t="shared" si="12"/>
        <v>07:24</v>
      </c>
      <c r="M24" s="26" t="str">
        <f>IF(OR(F24="N",F24="F"),"0:00",
IF(
OR(
AND(Masterdata!$B$4&lt;&gt;DATE(1900,1,0),Masterdata!$B$4&lt;$E24),
AND(Masterdata!$B$3&lt;&gt;DATE(1900,1,0),Masterdata!$B$3&gt;$E24)
),"0:00",
IF(
$I24&gt;TIME(0,0,0),
IF(
NOT(OR($C24="mandag",$C24="tirsdag",$C24="onsdag",$C24="torsdag",$C24="fredag")),
TEXT($I24,"[tt]:mm"),
IF($I24-$G24&gt;=0,TEXT($I24-$G24,"[tt]:mm"),"-"&amp;TEXT(ABS($I24-$G24),"[tt]:mm"))
),
IF(
NOT(OR($C24="mandag",$C24="tirsdag",$C24="onsdag",$C24="torsdag",$C24="fredag")),
IF($K24-$J24&gt;=0,TEXT($K24-$J24,"[tt]:mm"),"-"&amp;TEXT(ABS($K24-$J24),"[tt]:mm")),
IF(
$K24-$J24-$G24&gt;=0,
TEXT($K24-$J24-$G24,"[tt]:mm"),
"-"&amp;TEXT(ABS($K24-$J24-$G24),"[tt]:mm")
)
)
)
))</f>
        <v>0:00</v>
      </c>
      <c r="N24" s="71" t="str">
        <f t="shared" si="13"/>
        <v>0</v>
      </c>
      <c r="O24" s="25" t="str">
        <f t="shared" si="5"/>
        <v>0:</v>
      </c>
      <c r="P24" s="52" t="str">
        <f t="shared" si="6"/>
        <v>0</v>
      </c>
      <c r="Q24" s="53">
        <f t="shared" si="10"/>
        <v>0</v>
      </c>
      <c r="R24" s="30">
        <f t="shared" si="14"/>
        <v>0</v>
      </c>
      <c r="S24" s="98"/>
      <c r="T24" s="98"/>
      <c r="U24" s="29"/>
      <c r="V24" s="29"/>
      <c r="W24" s="29" t="s">
        <v>126</v>
      </c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</row>
    <row r="25" spans="1:45" x14ac:dyDescent="0.3">
      <c r="A25" s="7">
        <f t="shared" si="2"/>
        <v>12</v>
      </c>
      <c r="B25" s="8">
        <f t="shared" si="9"/>
        <v>46098</v>
      </c>
      <c r="C25" s="9" t="str" cm="1">
        <f t="array" ref="C25">_xlfn.XLOOKUP(E25,Masterdata!$B$31:$B$44,Masterdata!$A$31:$A$44,_xlfn.SWITCH(WEEKDAY($D25, 2), 1, "mandag", 2, "tirsdag", 3, "onsdag", 4, "torsdag", 5, "fredag", 6, "lørdag", 7, "søndag"),0)</f>
        <v>tirsdag</v>
      </c>
      <c r="D25" s="29">
        <f t="shared" si="0"/>
        <v>3</v>
      </c>
      <c r="E25" s="70">
        <f t="shared" si="3"/>
        <v>46098</v>
      </c>
      <c r="F25" s="10" t="s">
        <v>23</v>
      </c>
      <c r="G25" s="12">
        <f>IF(OR(AND(F25="N",NOT(OR(C25="mandag",C25="tirsdag",C25="onsdag",C25="torsdag",C25="fredag"))),F25="F"),0,
        IF(OR(
            AND(Masterdata!$B$4&lt;&gt;DATE(1900,1,0), Masterdata!$B$4&lt;$E25),
            AND(Masterdata!$B$3&lt;&gt;DATE(1900,1,0), Masterdata!$B$3&gt;$E25)
        ),
        0, $X$7/(5-H25)))</f>
        <v>0.30833333333333335</v>
      </c>
      <c r="H25" s="86">
        <f>SUMPRODUCT(COUNTIFS(Februar!$A$9:$A$39,$A25,Februar!$D$9:$D$39,"&lt;7",Februar!$F$9:$F$39,"F")+COUNTIFS($A$9:$A$38,$A25,$D$9:$D$38,"&lt;7",$F$9:$F$38,"F")+COUNTIFS(April!$A$9:$A$39,$A25,April!$D$9:$D$39,"&lt;7",April!$F$9:$F$39,"F"))</f>
        <v>0</v>
      </c>
      <c r="I25" s="11">
        <v>0</v>
      </c>
      <c r="J25" s="11">
        <v>0</v>
      </c>
      <c r="K25" s="11">
        <v>0</v>
      </c>
      <c r="L25" s="26" t="str">
        <f t="shared" si="12"/>
        <v>07:24</v>
      </c>
      <c r="M25" s="26" t="str">
        <f>IF(OR(F25="N",F25="F"),"0:00",
IF(
OR(
AND(Masterdata!$B$4&lt;&gt;DATE(1900,1,0),Masterdata!$B$4&lt;$E25),
AND(Masterdata!$B$3&lt;&gt;DATE(1900,1,0),Masterdata!$B$3&gt;$E25)
),"0:00",
IF(
$I25&gt;TIME(0,0,0),
IF(
NOT(OR($C25="mandag",$C25="tirsdag",$C25="onsdag",$C25="torsdag",$C25="fredag")),
TEXT($I25,"[tt]:mm"),
IF($I25-$G25&gt;=0,TEXT($I25-$G25,"[tt]:mm"),"-"&amp;TEXT(ABS($I25-$G25),"[tt]:mm"))
),
IF(
NOT(OR($C25="mandag",$C25="tirsdag",$C25="onsdag",$C25="torsdag",$C25="fredag")),
IF($K25-$J25&gt;=0,TEXT($K25-$J25,"[tt]:mm"),"-"&amp;TEXT(ABS($K25-$J25),"[tt]:mm")),
IF(
$K25-$J25-$G25&gt;=0,
TEXT($K25-$J25-$G25,"[tt]:mm"),
"-"&amp;TEXT(ABS($K25-$J25-$G25),"[tt]:mm")
)
)
)
))</f>
        <v>0:00</v>
      </c>
      <c r="N25" s="71" t="str">
        <f t="shared" si="13"/>
        <v>0</v>
      </c>
      <c r="O25" s="25" t="str">
        <f t="shared" si="5"/>
        <v>0:</v>
      </c>
      <c r="P25" s="52" t="str">
        <f t="shared" si="6"/>
        <v>0</v>
      </c>
      <c r="Q25" s="53">
        <f t="shared" si="10"/>
        <v>0</v>
      </c>
      <c r="R25" s="30">
        <f t="shared" si="14"/>
        <v>0</v>
      </c>
      <c r="S25" s="98"/>
      <c r="T25" s="98"/>
      <c r="U25" s="29"/>
      <c r="V25" s="29"/>
      <c r="W25" s="29" t="s">
        <v>127</v>
      </c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</row>
    <row r="26" spans="1:45" x14ac:dyDescent="0.3">
      <c r="A26" s="7">
        <f t="shared" si="2"/>
        <v>12</v>
      </c>
      <c r="B26" s="8">
        <f t="shared" si="9"/>
        <v>46099</v>
      </c>
      <c r="C26" s="9" t="str" cm="1">
        <f t="array" ref="C26">_xlfn.XLOOKUP(E26,Masterdata!$B$31:$B$44,Masterdata!$A$31:$A$44,_xlfn.SWITCH(WEEKDAY($D26, 2), 1, "mandag", 2, "tirsdag", 3, "onsdag", 4, "torsdag", 5, "fredag", 6, "lørdag", 7, "søndag"),0)</f>
        <v>onsdag</v>
      </c>
      <c r="D26" s="29">
        <f t="shared" si="0"/>
        <v>4</v>
      </c>
      <c r="E26" s="70">
        <f t="shared" si="3"/>
        <v>46099</v>
      </c>
      <c r="F26" s="10" t="s">
        <v>23</v>
      </c>
      <c r="G26" s="12">
        <f>IF(OR(AND(F26="N",NOT(OR(C26="mandag",C26="tirsdag",C26="onsdag",C26="torsdag",C26="fredag"))),F26="F"),0,
        IF(OR(
            AND(Masterdata!$B$4&lt;&gt;DATE(1900,1,0), Masterdata!$B$4&lt;$E26),
            AND(Masterdata!$B$3&lt;&gt;DATE(1900,1,0), Masterdata!$B$3&gt;$E26)
        ),
        0, $X$7/(5-H26)))</f>
        <v>0.30833333333333335</v>
      </c>
      <c r="H26" s="86">
        <f>SUMPRODUCT(COUNTIFS(Februar!$A$9:$A$39,$A26,Februar!$D$9:$D$39,"&lt;7",Februar!$F$9:$F$39,"F")+COUNTIFS($A$9:$A$38,$A26,$D$9:$D$38,"&lt;7",$F$9:$F$38,"F")+COUNTIFS(April!$A$9:$A$39,$A26,April!$D$9:$D$39,"&lt;7",April!$F$9:$F$39,"F"))</f>
        <v>0</v>
      </c>
      <c r="I26" s="11">
        <v>0</v>
      </c>
      <c r="J26" s="11">
        <v>0</v>
      </c>
      <c r="K26" s="11">
        <v>0</v>
      </c>
      <c r="L26" s="26" t="str">
        <f t="shared" si="12"/>
        <v>07:24</v>
      </c>
      <c r="M26" s="26" t="str">
        <f>IF(OR(F26="N",F26="F"),"0:00",
IF(
OR(
AND(Masterdata!$B$4&lt;&gt;DATE(1900,1,0),Masterdata!$B$4&lt;$E26),
AND(Masterdata!$B$3&lt;&gt;DATE(1900,1,0),Masterdata!$B$3&gt;$E26)
),"0:00",
IF(
$I26&gt;TIME(0,0,0),
IF(
NOT(OR($C26="mandag",$C26="tirsdag",$C26="onsdag",$C26="torsdag",$C26="fredag")),
TEXT($I26,"[tt]:mm"),
IF($I26-$G26&gt;=0,TEXT($I26-$G26,"[tt]:mm"),"-"&amp;TEXT(ABS($I26-$G26),"[tt]:mm"))
),
IF(
NOT(OR($C26="mandag",$C26="tirsdag",$C26="onsdag",$C26="torsdag",$C26="fredag")),
IF($K26-$J26&gt;=0,TEXT($K26-$J26,"[tt]:mm"),"-"&amp;TEXT(ABS($K26-$J26),"[tt]:mm")),
IF(
$K26-$J26-$G26&gt;=0,
TEXT($K26-$J26-$G26,"[tt]:mm"),
"-"&amp;TEXT(ABS($K26-$J26-$G26),"[tt]:mm")
)
)
)
))</f>
        <v>0:00</v>
      </c>
      <c r="N26" s="71" t="str">
        <f t="shared" si="13"/>
        <v>0</v>
      </c>
      <c r="O26" s="25" t="str">
        <f t="shared" si="5"/>
        <v>0:</v>
      </c>
      <c r="P26" s="52" t="str">
        <f t="shared" si="6"/>
        <v>0</v>
      </c>
      <c r="Q26" s="53">
        <f t="shared" si="10"/>
        <v>0</v>
      </c>
      <c r="R26" s="30">
        <f t="shared" si="14"/>
        <v>0</v>
      </c>
      <c r="S26" s="98"/>
      <c r="T26" s="98"/>
      <c r="U26" s="29"/>
      <c r="V26" s="29"/>
      <c r="W26" s="29" t="s">
        <v>128</v>
      </c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</row>
    <row r="27" spans="1:45" x14ac:dyDescent="0.3">
      <c r="A27" s="7">
        <f t="shared" si="2"/>
        <v>12</v>
      </c>
      <c r="B27" s="8">
        <f t="shared" si="9"/>
        <v>46100</v>
      </c>
      <c r="C27" s="9" t="str" cm="1">
        <f t="array" ref="C27">_xlfn.XLOOKUP(E27,Masterdata!$B$31:$B$44,Masterdata!$A$31:$A$44,_xlfn.SWITCH(WEEKDAY($D27, 2), 1, "mandag", 2, "tirsdag", 3, "onsdag", 4, "torsdag", 5, "fredag", 6, "lørdag", 7, "søndag"),0)</f>
        <v>torsdag</v>
      </c>
      <c r="D27" s="29">
        <f t="shared" si="0"/>
        <v>5</v>
      </c>
      <c r="E27" s="70">
        <f t="shared" si="3"/>
        <v>46100</v>
      </c>
      <c r="F27" s="10" t="s">
        <v>23</v>
      </c>
      <c r="G27" s="12">
        <f>IF(OR(AND(F27="N",NOT(OR(C27="mandag",C27="tirsdag",C27="onsdag",C27="torsdag",C27="fredag"))),F27="F"),0,
        IF(OR(
            AND(Masterdata!$B$4&lt;&gt;DATE(1900,1,0), Masterdata!$B$4&lt;$E27),
            AND(Masterdata!$B$3&lt;&gt;DATE(1900,1,0), Masterdata!$B$3&gt;$E27)
        ),
        0, $X$7/(5-H27)))</f>
        <v>0.30833333333333335</v>
      </c>
      <c r="H27" s="86">
        <f>SUMPRODUCT(COUNTIFS(Februar!$A$9:$A$39,$A27,Februar!$D$9:$D$39,"&lt;7",Februar!$F$9:$F$39,"F")+COUNTIFS($A$9:$A$38,$A27,$D$9:$D$38,"&lt;7",$F$9:$F$38,"F")+COUNTIFS(April!$A$9:$A$39,$A27,April!$D$9:$D$39,"&lt;7",April!$F$9:$F$39,"F"))</f>
        <v>0</v>
      </c>
      <c r="I27" s="11">
        <v>0</v>
      </c>
      <c r="J27" s="11">
        <v>0</v>
      </c>
      <c r="K27" s="11">
        <v>0</v>
      </c>
      <c r="L27" s="26" t="str">
        <f t="shared" si="12"/>
        <v>07:24</v>
      </c>
      <c r="M27" s="26" t="str">
        <f>IF(OR(F27="N",F27="F"),"0:00",
IF(
OR(
AND(Masterdata!$B$4&lt;&gt;DATE(1900,1,0),Masterdata!$B$4&lt;$E27),
AND(Masterdata!$B$3&lt;&gt;DATE(1900,1,0),Masterdata!$B$3&gt;$E27)
),"0:00",
IF(
$I27&gt;TIME(0,0,0),
IF(
NOT(OR($C27="mandag",$C27="tirsdag",$C27="onsdag",$C27="torsdag",$C27="fredag")),
TEXT($I27,"[tt]:mm"),
IF($I27-$G27&gt;=0,TEXT($I27-$G27,"[tt]:mm"),"-"&amp;TEXT(ABS($I27-$G27),"[tt]:mm"))
),
IF(
NOT(OR($C27="mandag",$C27="tirsdag",$C27="onsdag",$C27="torsdag",$C27="fredag")),
IF($K27-$J27&gt;=0,TEXT($K27-$J27,"[tt]:mm"),"-"&amp;TEXT(ABS($K27-$J27),"[tt]:mm")),
IF(
$K27-$J27-$G27&gt;=0,
TEXT($K27-$J27-$G27,"[tt]:mm"),
"-"&amp;TEXT(ABS($K27-$J27-$G27),"[tt]:mm")
)
)
)
))</f>
        <v>0:00</v>
      </c>
      <c r="N27" s="71" t="str">
        <f t="shared" si="13"/>
        <v>0</v>
      </c>
      <c r="O27" s="25" t="str">
        <f t="shared" si="5"/>
        <v>0:</v>
      </c>
      <c r="P27" s="52" t="str">
        <f t="shared" si="6"/>
        <v>0</v>
      </c>
      <c r="Q27" s="53">
        <f t="shared" si="10"/>
        <v>0</v>
      </c>
      <c r="R27" s="30">
        <f t="shared" si="14"/>
        <v>0</v>
      </c>
      <c r="S27" s="98"/>
      <c r="T27" s="98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</row>
    <row r="28" spans="1:45" x14ac:dyDescent="0.3">
      <c r="A28" s="7">
        <f t="shared" si="2"/>
        <v>12</v>
      </c>
      <c r="B28" s="8">
        <f t="shared" si="9"/>
        <v>46101</v>
      </c>
      <c r="C28" s="9" t="str" cm="1">
        <f t="array" ref="C28">_xlfn.XLOOKUP(E28,Masterdata!$B$31:$B$44,Masterdata!$A$31:$A$44,_xlfn.SWITCH(WEEKDAY($D28, 2), 1, "mandag", 2, "tirsdag", 3, "onsdag", 4, "torsdag", 5, "fredag", 6, "lørdag", 7, "søndag"),0)</f>
        <v>fredag</v>
      </c>
      <c r="D28" s="29">
        <f t="shared" si="0"/>
        <v>6</v>
      </c>
      <c r="E28" s="70">
        <f t="shared" si="3"/>
        <v>46101</v>
      </c>
      <c r="F28" s="10" t="s">
        <v>23</v>
      </c>
      <c r="G28" s="12">
        <f>IF(OR(AND(F28="N",NOT(OR(C28="mandag",C28="tirsdag",C28="onsdag",C28="torsdag",C28="fredag"))),F28="F"),0,
        IF(OR(
            AND(Masterdata!$B$4&lt;&gt;DATE(1900,1,0), Masterdata!$B$4&lt;$E28),
            AND(Masterdata!$B$3&lt;&gt;DATE(1900,1,0), Masterdata!$B$3&gt;$E28)
        ),
        0, $X$7/(5-H28)))</f>
        <v>0.30833333333333335</v>
      </c>
      <c r="H28" s="86">
        <f>SUMPRODUCT(COUNTIFS(Februar!$A$9:$A$39,$A28,Februar!$D$9:$D$39,"&lt;7",Februar!$F$9:$F$39,"F")+COUNTIFS($A$9:$A$38,$A28,$D$9:$D$38,"&lt;7",$F$9:$F$38,"F")+COUNTIFS(April!$A$9:$A$39,$A28,April!$D$9:$D$39,"&lt;7",April!$F$9:$F$39,"F"))</f>
        <v>0</v>
      </c>
      <c r="I28" s="11">
        <v>0</v>
      </c>
      <c r="J28" s="11">
        <v>0</v>
      </c>
      <c r="K28" s="11">
        <v>0</v>
      </c>
      <c r="L28" s="26" t="str">
        <f t="shared" si="12"/>
        <v>07:24</v>
      </c>
      <c r="M28" s="26" t="str">
        <f>IF(OR(F28="N",F28="F"),"0:00",
IF(
OR(
AND(Masterdata!$B$4&lt;&gt;DATE(1900,1,0),Masterdata!$B$4&lt;$E28),
AND(Masterdata!$B$3&lt;&gt;DATE(1900,1,0),Masterdata!$B$3&gt;$E28)
),"0:00",
IF(
$I28&gt;TIME(0,0,0),
IF(
NOT(OR($C28="mandag",$C28="tirsdag",$C28="onsdag",$C28="torsdag",$C28="fredag")),
TEXT($I28,"[tt]:mm"),
IF($I28-$G28&gt;=0,TEXT($I28-$G28,"[tt]:mm"),"-"&amp;TEXT(ABS($I28-$G28),"[tt]:mm"))
),
IF(
NOT(OR($C28="mandag",$C28="tirsdag",$C28="onsdag",$C28="torsdag",$C28="fredag")),
IF($K28-$J28&gt;=0,TEXT($K28-$J28,"[tt]:mm"),"-"&amp;TEXT(ABS($K28-$J28),"[tt]:mm")),
IF(
$K28-$J28-$G28&gt;=0,
TEXT($K28-$J28-$G28,"[tt]:mm"),
"-"&amp;TEXT(ABS($K28-$J28-$G28),"[tt]:mm")
)
)
)
))</f>
        <v>0:00</v>
      </c>
      <c r="N28" s="71" t="str">
        <f t="shared" si="13"/>
        <v>0</v>
      </c>
      <c r="O28" s="25" t="str">
        <f t="shared" si="5"/>
        <v>0:</v>
      </c>
      <c r="P28" s="52" t="str">
        <f t="shared" si="6"/>
        <v>0</v>
      </c>
      <c r="Q28" s="53">
        <f t="shared" si="10"/>
        <v>0</v>
      </c>
      <c r="R28" s="30">
        <f t="shared" si="14"/>
        <v>0</v>
      </c>
      <c r="S28" s="98"/>
      <c r="T28" s="98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</row>
    <row r="29" spans="1:45" x14ac:dyDescent="0.3">
      <c r="A29" s="7">
        <f t="shared" si="2"/>
        <v>12</v>
      </c>
      <c r="B29" s="8">
        <f t="shared" si="9"/>
        <v>46102</v>
      </c>
      <c r="C29" s="9" t="str" cm="1">
        <f t="array" ref="C29">_xlfn.XLOOKUP(E29,Masterdata!$B$31:$B$44,Masterdata!$A$31:$A$44,_xlfn.SWITCH(WEEKDAY($D29, 2), 1, "mandag", 2, "tirsdag", 3, "onsdag", 4, "torsdag", 5, "fredag", 6, "lørdag", 7, "søndag"),0)</f>
        <v>lørdag</v>
      </c>
      <c r="D29" s="29">
        <f t="shared" si="0"/>
        <v>7</v>
      </c>
      <c r="E29" s="70">
        <f t="shared" si="3"/>
        <v>46102</v>
      </c>
      <c r="F29" s="10" t="s">
        <v>23</v>
      </c>
      <c r="G29" s="12">
        <f>IF(OR(AND(F29="N",NOT(OR(C29="mandag",C29="tirsdag",C29="onsdag",C29="torsdag",C29="fredag"))),F29="F"),0,
        IF(OR(
            AND(Masterdata!$B$4&lt;&gt;DATE(1900,1,0), Masterdata!$B$4&lt;$E29),
            AND(Masterdata!$B$3&lt;&gt;DATE(1900,1,0), Masterdata!$B$3&gt;$E29)
        ),
        0, $X$7/(5-H29)))</f>
        <v>0</v>
      </c>
      <c r="H29" s="86">
        <f>SUMPRODUCT(COUNTIFS(Februar!$A$9:$A$39,$A29,Februar!$D$9:$D$39,"&lt;7",Februar!$F$9:$F$39,"F")+COUNTIFS($A$9:$A$38,$A29,$D$9:$D$38,"&lt;7",$F$9:$F$38,"F")+COUNTIFS(April!$A$9:$A$39,$A29,April!$D$9:$D$39,"&lt;7",April!$F$9:$F$39,"F"))</f>
        <v>0</v>
      </c>
      <c r="I29" s="11">
        <v>0</v>
      </c>
      <c r="J29" s="11">
        <v>0</v>
      </c>
      <c r="K29" s="11">
        <v>0</v>
      </c>
      <c r="L29" s="26" t="str">
        <f t="shared" si="12"/>
        <v>00:00</v>
      </c>
      <c r="M29" s="26" t="str">
        <f>IF(OR(F29="N",F29="F"),"0:00",
IF(
OR(
AND(Masterdata!$B$4&lt;&gt;DATE(1900,1,0),Masterdata!$B$4&lt;$E29),
AND(Masterdata!$B$3&lt;&gt;DATE(1900,1,0),Masterdata!$B$3&gt;$E29)
),"0:00",
IF(
$I29&gt;TIME(0,0,0),
IF(
NOT(OR($C29="mandag",$C29="tirsdag",$C29="onsdag",$C29="torsdag",$C29="fredag")),
TEXT($I29,"[tt]:mm"),
IF($I29-$G29&gt;=0,TEXT($I29-$G29,"[tt]:mm"),"-"&amp;TEXT(ABS($I29-$G29),"[tt]:mm"))
),
IF(
NOT(OR($C29="mandag",$C29="tirsdag",$C29="onsdag",$C29="torsdag",$C29="fredag")),
IF($K29-$J29&gt;=0,TEXT($K29-$J29,"[tt]:mm"),"-"&amp;TEXT(ABS($K29-$J29),"[tt]:mm")),
IF(
$K29-$J29-$G29&gt;=0,
TEXT($K29-$J29-$G29,"[tt]:mm"),
"-"&amp;TEXT(ABS($K29-$J29-$G29),"[tt]:mm")
)
)
)
))</f>
        <v>0:00</v>
      </c>
      <c r="N29" s="71" t="str">
        <f t="shared" si="13"/>
        <v>0</v>
      </c>
      <c r="O29" s="25" t="str">
        <f t="shared" si="5"/>
        <v>0:</v>
      </c>
      <c r="P29" s="52" t="str">
        <f t="shared" si="6"/>
        <v>0</v>
      </c>
      <c r="Q29" s="53">
        <f t="shared" si="10"/>
        <v>0</v>
      </c>
      <c r="R29" s="30">
        <f t="shared" si="14"/>
        <v>0</v>
      </c>
      <c r="S29" s="98"/>
      <c r="T29" s="98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</row>
    <row r="30" spans="1:45" x14ac:dyDescent="0.3">
      <c r="A30" s="7">
        <f t="shared" si="2"/>
        <v>12</v>
      </c>
      <c r="B30" s="8">
        <f t="shared" si="9"/>
        <v>46103</v>
      </c>
      <c r="C30" s="9" t="str" cm="1">
        <f t="array" ref="C30">_xlfn.XLOOKUP(E30,Masterdata!$B$31:$B$44,Masterdata!$A$31:$A$44,_xlfn.SWITCH(WEEKDAY($D30, 2), 1, "mandag", 2, "tirsdag", 3, "onsdag", 4, "torsdag", 5, "fredag", 6, "lørdag", 7, "søndag"),0)</f>
        <v>søndag</v>
      </c>
      <c r="D30" s="29">
        <f t="shared" si="0"/>
        <v>8</v>
      </c>
      <c r="E30" s="70">
        <f t="shared" si="3"/>
        <v>46103</v>
      </c>
      <c r="F30" s="10" t="s">
        <v>23</v>
      </c>
      <c r="G30" s="12">
        <f>IF(OR(AND(F30="N",NOT(OR(C30="mandag",C30="tirsdag",C30="onsdag",C30="torsdag",C30="fredag"))),F30="F"),0,
        IF(OR(
            AND(Masterdata!$B$4&lt;&gt;DATE(1900,1,0), Masterdata!$B$4&lt;$E30),
            AND(Masterdata!$B$3&lt;&gt;DATE(1900,1,0), Masterdata!$B$3&gt;$E30)
        ),
        0, $X$7/(5-H30)))</f>
        <v>0</v>
      </c>
      <c r="H30" s="86">
        <f>SUMPRODUCT(COUNTIFS(Februar!$A$9:$A$39,$A30,Februar!$D$9:$D$39,"&lt;7",Februar!$F$9:$F$39,"F")+COUNTIFS($A$9:$A$38,$A30,$D$9:$D$38,"&lt;7",$F$9:$F$38,"F")+COUNTIFS(April!$A$9:$A$39,$A30,April!$D$9:$D$39,"&lt;7",April!$F$9:$F$39,"F"))</f>
        <v>0</v>
      </c>
      <c r="I30" s="11">
        <v>0</v>
      </c>
      <c r="J30" s="11">
        <v>0</v>
      </c>
      <c r="K30" s="11">
        <v>0</v>
      </c>
      <c r="L30" s="26" t="str">
        <f t="shared" si="12"/>
        <v>00:00</v>
      </c>
      <c r="M30" s="26" t="str">
        <f>IF(OR(F30="N",F30="F"),"0:00",
IF(
OR(
AND(Masterdata!$B$4&lt;&gt;DATE(1900,1,0),Masterdata!$B$4&lt;$E30),
AND(Masterdata!$B$3&lt;&gt;DATE(1900,1,0),Masterdata!$B$3&gt;$E30)
),"0:00",
IF(
$I30&gt;TIME(0,0,0),
IF(
NOT(OR($C30="mandag",$C30="tirsdag",$C30="onsdag",$C30="torsdag",$C30="fredag")),
TEXT($I30,"[tt]:mm"),
IF($I30-$G30&gt;=0,TEXT($I30-$G30,"[tt]:mm"),"-"&amp;TEXT(ABS($I30-$G30),"[tt]:mm"))
),
IF(
NOT(OR($C30="mandag",$C30="tirsdag",$C30="onsdag",$C30="torsdag",$C30="fredag")),
IF($K30-$J30&gt;=0,TEXT($K30-$J30,"[tt]:mm"),"-"&amp;TEXT(ABS($K30-$J30),"[tt]:mm")),
IF(
$K30-$J30-$G30&gt;=0,
TEXT($K30-$J30-$G30,"[tt]:mm"),
"-"&amp;TEXT(ABS($K30-$J30-$G30),"[tt]:mm")
)
)
)
))</f>
        <v>0:00</v>
      </c>
      <c r="N30" s="71" t="str">
        <f t="shared" si="13"/>
        <v>0</v>
      </c>
      <c r="O30" s="25" t="str">
        <f t="shared" si="5"/>
        <v>0:</v>
      </c>
      <c r="P30" s="52" t="str">
        <f t="shared" si="6"/>
        <v>0</v>
      </c>
      <c r="Q30" s="53">
        <f t="shared" si="10"/>
        <v>0</v>
      </c>
      <c r="R30" s="30">
        <f t="shared" si="14"/>
        <v>0</v>
      </c>
      <c r="S30" s="98"/>
      <c r="T30" s="98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</row>
    <row r="31" spans="1:45" x14ac:dyDescent="0.3">
      <c r="A31" s="7">
        <f t="shared" si="2"/>
        <v>13</v>
      </c>
      <c r="B31" s="8">
        <f t="shared" si="9"/>
        <v>46104</v>
      </c>
      <c r="C31" s="9" t="str" cm="1">
        <f t="array" ref="C31">_xlfn.XLOOKUP(E31,Masterdata!$B$31:$B$44,Masterdata!$A$31:$A$44,_xlfn.SWITCH(WEEKDAY($D31, 2), 1, "mandag", 2, "tirsdag", 3, "onsdag", 4, "torsdag", 5, "fredag", 6, "lørdag", 7, "søndag"),0)</f>
        <v>mandag</v>
      </c>
      <c r="D31" s="29">
        <f t="shared" si="0"/>
        <v>2</v>
      </c>
      <c r="E31" s="70">
        <f t="shared" si="3"/>
        <v>46104</v>
      </c>
      <c r="F31" s="10" t="s">
        <v>23</v>
      </c>
      <c r="G31" s="12">
        <f>IF(OR(AND(F31="N",NOT(OR(C31="mandag",C31="tirsdag",C31="onsdag",C31="torsdag",C31="fredag"))),F31="F"),0,
        IF(OR(
            AND(Masterdata!$B$4&lt;&gt;DATE(1900,1,0), Masterdata!$B$4&lt;$E31),
            AND(Masterdata!$B$3&lt;&gt;DATE(1900,1,0), Masterdata!$B$3&gt;$E31)
        ),
        0, $X$7/(5-H31)))</f>
        <v>0.30833333333333335</v>
      </c>
      <c r="H31" s="86">
        <f>SUMPRODUCT(COUNTIFS(Februar!$A$9:$A$39,$A31,Februar!$D$9:$D$39,"&lt;7",Februar!$F$9:$F$39,"F")+COUNTIFS($A$9:$A$38,$A31,$D$9:$D$38,"&lt;7",$F$9:$F$38,"F")+COUNTIFS(April!$A$9:$A$39,$A31,April!$D$9:$D$39,"&lt;7",April!$F$9:$F$39,"F"))</f>
        <v>0</v>
      </c>
      <c r="I31" s="11">
        <v>0</v>
      </c>
      <c r="J31" s="11">
        <v>0</v>
      </c>
      <c r="K31" s="11">
        <v>0</v>
      </c>
      <c r="L31" s="26" t="str">
        <f t="shared" si="12"/>
        <v>07:24</v>
      </c>
      <c r="M31" s="26" t="str">
        <f>IF(OR(F31="N",F31="F"),"0:00",
IF(
OR(
AND(Masterdata!$B$4&lt;&gt;DATE(1900,1,0),Masterdata!$B$4&lt;$E31),
AND(Masterdata!$B$3&lt;&gt;DATE(1900,1,0),Masterdata!$B$3&gt;$E31)
),"0:00",
IF(
$I31&gt;TIME(0,0,0),
IF(
NOT(OR($C31="mandag",$C31="tirsdag",$C31="onsdag",$C31="torsdag",$C31="fredag")),
TEXT($I31,"[tt]:mm"),
IF($I31-$G31&gt;=0,TEXT($I31-$G31,"[tt]:mm"),"-"&amp;TEXT(ABS($I31-$G31),"[tt]:mm"))
),
IF(
NOT(OR($C31="mandag",$C31="tirsdag",$C31="onsdag",$C31="torsdag",$C31="fredag")),
IF($K31-$J31&gt;=0,TEXT($K31-$J31,"[tt]:mm"),"-"&amp;TEXT(ABS($K31-$J31),"[tt]:mm")),
IF(
$K31-$J31-$G31&gt;=0,
TEXT($K31-$J31-$G31,"[tt]:mm"),
"-"&amp;TEXT(ABS($K31-$J31-$G31),"[tt]:mm")
)
)
)
))</f>
        <v>0:00</v>
      </c>
      <c r="N31" s="71" t="str">
        <f t="shared" si="13"/>
        <v>0</v>
      </c>
      <c r="O31" s="25" t="str">
        <f t="shared" si="5"/>
        <v>0:</v>
      </c>
      <c r="P31" s="52" t="str">
        <f t="shared" si="6"/>
        <v>0</v>
      </c>
      <c r="Q31" s="53">
        <f t="shared" si="10"/>
        <v>0</v>
      </c>
      <c r="R31" s="30">
        <f t="shared" si="14"/>
        <v>0</v>
      </c>
      <c r="S31" s="98"/>
      <c r="T31" s="98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</row>
    <row r="32" spans="1:45" x14ac:dyDescent="0.3">
      <c r="A32" s="7">
        <f t="shared" si="2"/>
        <v>13</v>
      </c>
      <c r="B32" s="8">
        <f t="shared" si="9"/>
        <v>46105</v>
      </c>
      <c r="C32" s="9" t="str" cm="1">
        <f t="array" ref="C32">_xlfn.XLOOKUP(E32,Masterdata!$B$31:$B$44,Masterdata!$A$31:$A$44,_xlfn.SWITCH(WEEKDAY($D32, 2), 1, "mandag", 2, "tirsdag", 3, "onsdag", 4, "torsdag", 5, "fredag", 6, "lørdag", 7, "søndag"),0)</f>
        <v>tirsdag</v>
      </c>
      <c r="D32" s="29">
        <f t="shared" si="0"/>
        <v>3</v>
      </c>
      <c r="E32" s="70">
        <f t="shared" si="3"/>
        <v>46105</v>
      </c>
      <c r="F32" s="10" t="s">
        <v>23</v>
      </c>
      <c r="G32" s="12">
        <f>IF(OR(AND(F32="N",NOT(OR(C32="mandag",C32="tirsdag",C32="onsdag",C32="torsdag",C32="fredag"))),F32="F"),0,
        IF(OR(
            AND(Masterdata!$B$4&lt;&gt;DATE(1900,1,0), Masterdata!$B$4&lt;$E32),
            AND(Masterdata!$B$3&lt;&gt;DATE(1900,1,0), Masterdata!$B$3&gt;$E32)
        ),
        0, $X$7/(5-H32)))</f>
        <v>0.30833333333333335</v>
      </c>
      <c r="H32" s="86">
        <f>SUMPRODUCT(COUNTIFS(Februar!$A$9:$A$39,$A32,Februar!$D$9:$D$39,"&lt;7",Februar!$F$9:$F$39,"F")+COUNTIFS($A$9:$A$38,$A32,$D$9:$D$38,"&lt;7",$F$9:$F$38,"F")+COUNTIFS(April!$A$9:$A$39,$A32,April!$D$9:$D$39,"&lt;7",April!$F$9:$F$39,"F"))</f>
        <v>0</v>
      </c>
      <c r="I32" s="11">
        <v>0</v>
      </c>
      <c r="J32" s="11">
        <v>0</v>
      </c>
      <c r="K32" s="11">
        <v>0</v>
      </c>
      <c r="L32" s="26" t="str">
        <f t="shared" si="12"/>
        <v>07:24</v>
      </c>
      <c r="M32" s="26" t="str">
        <f>IF(OR(F32="N",F32="F"),"0:00",
IF(
OR(
AND(Masterdata!$B$4&lt;&gt;DATE(1900,1,0),Masterdata!$B$4&lt;$E32),
AND(Masterdata!$B$3&lt;&gt;DATE(1900,1,0),Masterdata!$B$3&gt;$E32)
),"0:00",
IF(
$I32&gt;TIME(0,0,0),
IF(
NOT(OR($C32="mandag",$C32="tirsdag",$C32="onsdag",$C32="torsdag",$C32="fredag")),
TEXT($I32,"[tt]:mm"),
IF($I32-$G32&gt;=0,TEXT($I32-$G32,"[tt]:mm"),"-"&amp;TEXT(ABS($I32-$G32),"[tt]:mm"))
),
IF(
NOT(OR($C32="mandag",$C32="tirsdag",$C32="onsdag",$C32="torsdag",$C32="fredag")),
IF($K32-$J32&gt;=0,TEXT($K32-$J32,"[tt]:mm"),"-"&amp;TEXT(ABS($K32-$J32),"[tt]:mm")),
IF(
$K32-$J32-$G32&gt;=0,
TEXT($K32-$J32-$G32,"[tt]:mm"),
"-"&amp;TEXT(ABS($K32-$J32-$G32),"[tt]:mm")
)
)
)
))</f>
        <v>0:00</v>
      </c>
      <c r="N32" s="71" t="str">
        <f t="shared" si="13"/>
        <v>0</v>
      </c>
      <c r="O32" s="25" t="str">
        <f t="shared" si="5"/>
        <v>0:</v>
      </c>
      <c r="P32" s="52" t="str">
        <f t="shared" si="6"/>
        <v>0</v>
      </c>
      <c r="Q32" s="53">
        <f t="shared" si="10"/>
        <v>0</v>
      </c>
      <c r="R32" s="30">
        <f t="shared" si="14"/>
        <v>0</v>
      </c>
      <c r="S32" s="98"/>
      <c r="T32" s="98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</row>
    <row r="33" spans="1:45" x14ac:dyDescent="0.3">
      <c r="A33" s="7">
        <f t="shared" si="2"/>
        <v>13</v>
      </c>
      <c r="B33" s="8">
        <f t="shared" si="9"/>
        <v>46106</v>
      </c>
      <c r="C33" s="9" t="str" cm="1">
        <f t="array" ref="C33">_xlfn.XLOOKUP(E33,Masterdata!$B$31:$B$44,Masterdata!$A$31:$A$44,_xlfn.SWITCH(WEEKDAY($D33, 2), 1, "mandag", 2, "tirsdag", 3, "onsdag", 4, "torsdag", 5, "fredag", 6, "lørdag", 7, "søndag"),0)</f>
        <v>onsdag</v>
      </c>
      <c r="D33" s="29">
        <f t="shared" si="0"/>
        <v>4</v>
      </c>
      <c r="E33" s="70">
        <f t="shared" si="3"/>
        <v>46106</v>
      </c>
      <c r="F33" s="10" t="s">
        <v>23</v>
      </c>
      <c r="G33" s="12">
        <f>IF(OR(AND(F33="N",NOT(OR(C33="mandag",C33="tirsdag",C33="onsdag",C33="torsdag",C33="fredag"))),F33="F"),0,
        IF(OR(
            AND(Masterdata!$B$4&lt;&gt;DATE(1900,1,0), Masterdata!$B$4&lt;$E33),
            AND(Masterdata!$B$3&lt;&gt;DATE(1900,1,0), Masterdata!$B$3&gt;$E33)
        ),
        0, $X$7/(5-H33)))</f>
        <v>0.30833333333333335</v>
      </c>
      <c r="H33" s="86">
        <f>SUMPRODUCT(COUNTIFS(Februar!$A$9:$A$39,$A33,Februar!$D$9:$D$39,"&lt;7",Februar!$F$9:$F$39,"F")+COUNTIFS($A$9:$A$38,$A33,$D$9:$D$38,"&lt;7",$F$9:$F$38,"F")+COUNTIFS(April!$A$9:$A$39,$A33,April!$D$9:$D$39,"&lt;7",April!$F$9:$F$39,"F"))</f>
        <v>0</v>
      </c>
      <c r="I33" s="11">
        <v>0</v>
      </c>
      <c r="J33" s="11">
        <v>0</v>
      </c>
      <c r="K33" s="11">
        <v>0</v>
      </c>
      <c r="L33" s="26" t="str">
        <f t="shared" si="12"/>
        <v>07:24</v>
      </c>
      <c r="M33" s="26" t="str">
        <f>IF(OR(F33="N",F33="F"),"0:00",
IF(
OR(
AND(Masterdata!$B$4&lt;&gt;DATE(1900,1,0),Masterdata!$B$4&lt;$E33),
AND(Masterdata!$B$3&lt;&gt;DATE(1900,1,0),Masterdata!$B$3&gt;$E33)
),"0:00",
IF(
$I33&gt;TIME(0,0,0),
IF(
NOT(OR($C33="mandag",$C33="tirsdag",$C33="onsdag",$C33="torsdag",$C33="fredag")),
TEXT($I33,"[tt]:mm"),
IF($I33-$G33&gt;=0,TEXT($I33-$G33,"[tt]:mm"),"-"&amp;TEXT(ABS($I33-$G33),"[tt]:mm"))
),
IF(
NOT(OR($C33="mandag",$C33="tirsdag",$C33="onsdag",$C33="torsdag",$C33="fredag")),
IF($K33-$J33&gt;=0,TEXT($K33-$J33,"[tt]:mm"),"-"&amp;TEXT(ABS($K33-$J33),"[tt]:mm")),
IF(
$K33-$J33-$G33&gt;=0,
TEXT($K33-$J33-$G33,"[tt]:mm"),
"-"&amp;TEXT(ABS($K33-$J33-$G33),"[tt]:mm")
)
)
)
))</f>
        <v>0:00</v>
      </c>
      <c r="N33" s="71" t="str">
        <f t="shared" si="13"/>
        <v>0</v>
      </c>
      <c r="O33" s="25" t="str">
        <f t="shared" si="5"/>
        <v>0:</v>
      </c>
      <c r="P33" s="52" t="str">
        <f t="shared" si="6"/>
        <v>0</v>
      </c>
      <c r="Q33" s="53">
        <f t="shared" si="10"/>
        <v>0</v>
      </c>
      <c r="R33" s="30">
        <f t="shared" si="14"/>
        <v>0</v>
      </c>
      <c r="S33" s="98"/>
      <c r="T33" s="98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</row>
    <row r="34" spans="1:45" x14ac:dyDescent="0.3">
      <c r="A34" s="7">
        <f t="shared" si="2"/>
        <v>13</v>
      </c>
      <c r="B34" s="8">
        <f t="shared" si="9"/>
        <v>46107</v>
      </c>
      <c r="C34" s="9" t="str" cm="1">
        <f t="array" ref="C34">_xlfn.XLOOKUP(E34,Masterdata!$B$31:$B$44,Masterdata!$A$31:$A$44,_xlfn.SWITCH(WEEKDAY($D34, 2), 1, "mandag", 2, "tirsdag", 3, "onsdag", 4, "torsdag", 5, "fredag", 6, "lørdag", 7, "søndag"),0)</f>
        <v>torsdag</v>
      </c>
      <c r="D34" s="29">
        <f t="shared" si="0"/>
        <v>5</v>
      </c>
      <c r="E34" s="70">
        <f t="shared" si="3"/>
        <v>46107</v>
      </c>
      <c r="F34" s="10" t="s">
        <v>23</v>
      </c>
      <c r="G34" s="12">
        <f>IF(OR(AND(F34="N",NOT(OR(C34="mandag",C34="tirsdag",C34="onsdag",C34="torsdag",C34="fredag"))),F34="F"),0,
        IF(OR(
            AND(Masterdata!$B$4&lt;&gt;DATE(1900,1,0), Masterdata!$B$4&lt;$E34),
            AND(Masterdata!$B$3&lt;&gt;DATE(1900,1,0), Masterdata!$B$3&gt;$E34)
        ),
        0, $X$7/(5-H34)))</f>
        <v>0.30833333333333335</v>
      </c>
      <c r="H34" s="86">
        <f>SUMPRODUCT(COUNTIFS(Februar!$A$9:$A$39,$A34,Februar!$D$9:$D$39,"&lt;7",Februar!$F$9:$F$39,"F")+COUNTIFS($A$9:$A$38,$A34,$D$9:$D$38,"&lt;7",$F$9:$F$38,"F")+COUNTIFS(April!$A$9:$A$39,$A34,April!$D$9:$D$39,"&lt;7",April!$F$9:$F$39,"F"))</f>
        <v>0</v>
      </c>
      <c r="I34" s="11">
        <v>0</v>
      </c>
      <c r="J34" s="11">
        <v>0</v>
      </c>
      <c r="K34" s="11">
        <v>0</v>
      </c>
      <c r="L34" s="26" t="str">
        <f t="shared" si="12"/>
        <v>07:24</v>
      </c>
      <c r="M34" s="26" t="str">
        <f>IF(OR(F34="N",F34="F"),"0:00",
IF(
OR(
AND(Masterdata!$B$4&lt;&gt;DATE(1900,1,0),Masterdata!$B$4&lt;$E34),
AND(Masterdata!$B$3&lt;&gt;DATE(1900,1,0),Masterdata!$B$3&gt;$E34)
),"0:00",
IF(
$I34&gt;TIME(0,0,0),
IF(
NOT(OR($C34="mandag",$C34="tirsdag",$C34="onsdag",$C34="torsdag",$C34="fredag")),
TEXT($I34,"[tt]:mm"),
IF($I34-$G34&gt;=0,TEXT($I34-$G34,"[tt]:mm"),"-"&amp;TEXT(ABS($I34-$G34),"[tt]:mm"))
),
IF(
NOT(OR($C34="mandag",$C34="tirsdag",$C34="onsdag",$C34="torsdag",$C34="fredag")),
IF($K34-$J34&gt;=0,TEXT($K34-$J34,"[tt]:mm"),"-"&amp;TEXT(ABS($K34-$J34),"[tt]:mm")),
IF(
$K34-$J34-$G34&gt;=0,
TEXT($K34-$J34-$G34,"[tt]:mm"),
"-"&amp;TEXT(ABS($K34-$J34-$G34),"[tt]:mm")
)
)
)
))</f>
        <v>0:00</v>
      </c>
      <c r="N34" s="71" t="str">
        <f t="shared" si="13"/>
        <v>0</v>
      </c>
      <c r="O34" s="25" t="str">
        <f t="shared" si="5"/>
        <v>0:</v>
      </c>
      <c r="P34" s="52" t="str">
        <f t="shared" si="6"/>
        <v>0</v>
      </c>
      <c r="Q34" s="53">
        <f t="shared" si="10"/>
        <v>0</v>
      </c>
      <c r="R34" s="30">
        <f t="shared" si="14"/>
        <v>0</v>
      </c>
      <c r="S34" s="98"/>
      <c r="T34" s="98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</row>
    <row r="35" spans="1:45" x14ac:dyDescent="0.3">
      <c r="A35" s="7">
        <f t="shared" si="2"/>
        <v>13</v>
      </c>
      <c r="B35" s="8">
        <f t="shared" si="9"/>
        <v>46108</v>
      </c>
      <c r="C35" s="9" t="str" cm="1">
        <f t="array" ref="C35">_xlfn.XLOOKUP(E35,Masterdata!$B$31:$B$44,Masterdata!$A$31:$A$44,_xlfn.SWITCH(WEEKDAY($D35, 2), 1, "mandag", 2, "tirsdag", 3, "onsdag", 4, "torsdag", 5, "fredag", 6, "lørdag", 7, "søndag"),0)</f>
        <v>fredag</v>
      </c>
      <c r="D35" s="29">
        <f t="shared" si="0"/>
        <v>6</v>
      </c>
      <c r="E35" s="70">
        <f t="shared" si="3"/>
        <v>46108</v>
      </c>
      <c r="F35" s="10" t="s">
        <v>23</v>
      </c>
      <c r="G35" s="12">
        <f>IF(OR(AND(F35="N",NOT(OR(C35="mandag",C35="tirsdag",C35="onsdag",C35="torsdag",C35="fredag"))),F35="F"),0,
        IF(OR(
            AND(Masterdata!$B$4&lt;&gt;DATE(1900,1,0), Masterdata!$B$4&lt;$E35),
            AND(Masterdata!$B$3&lt;&gt;DATE(1900,1,0), Masterdata!$B$3&gt;$E35)
        ),
        0, $X$7/(5-H35)))</f>
        <v>0.30833333333333335</v>
      </c>
      <c r="H35" s="86">
        <f>SUMPRODUCT(COUNTIFS(Februar!$A$9:$A$39,$A35,Februar!$D$9:$D$39,"&lt;7",Februar!$F$9:$F$39,"F")+COUNTIFS($A$9:$A$38,$A35,$D$9:$D$38,"&lt;7",$F$9:$F$38,"F")+COUNTIFS(April!$A$9:$A$39,$A35,April!$D$9:$D$39,"&lt;7",April!$F$9:$F$39,"F"))</f>
        <v>0</v>
      </c>
      <c r="I35" s="11">
        <v>0</v>
      </c>
      <c r="J35" s="11">
        <v>0</v>
      </c>
      <c r="K35" s="11">
        <v>0</v>
      </c>
      <c r="L35" s="26" t="str">
        <f t="shared" si="12"/>
        <v>07:24</v>
      </c>
      <c r="M35" s="26" t="str">
        <f>IF(OR(F35="N",F35="F"),"0:00",
IF(
OR(
AND(Masterdata!$B$4&lt;&gt;DATE(1900,1,0),Masterdata!$B$4&lt;$E35),
AND(Masterdata!$B$3&lt;&gt;DATE(1900,1,0),Masterdata!$B$3&gt;$E35)
),"0:00",
IF(
$I35&gt;TIME(0,0,0),
IF(
NOT(OR($C35="mandag",$C35="tirsdag",$C35="onsdag",$C35="torsdag",$C35="fredag")),
TEXT($I35,"[tt]:mm"),
IF($I35-$G35&gt;=0,TEXT($I35-$G35,"[tt]:mm"),"-"&amp;TEXT(ABS($I35-$G35),"[tt]:mm"))
),
IF(
NOT(OR($C35="mandag",$C35="tirsdag",$C35="onsdag",$C35="torsdag",$C35="fredag")),
IF($K35-$J35&gt;=0,TEXT($K35-$J35,"[tt]:mm"),"-"&amp;TEXT(ABS($K35-$J35),"[tt]:mm")),
IF(
$K35-$J35-$G35&gt;=0,
TEXT($K35-$J35-$G35,"[tt]:mm"),
"-"&amp;TEXT(ABS($K35-$J35-$G35),"[tt]:mm")
)
)
)
))</f>
        <v>0:00</v>
      </c>
      <c r="N35" s="71" t="str">
        <f t="shared" si="13"/>
        <v>0</v>
      </c>
      <c r="O35" s="25" t="str">
        <f t="shared" si="5"/>
        <v>0:</v>
      </c>
      <c r="P35" s="52" t="str">
        <f t="shared" si="6"/>
        <v>0</v>
      </c>
      <c r="Q35" s="53">
        <f t="shared" si="10"/>
        <v>0</v>
      </c>
      <c r="R35" s="30">
        <f t="shared" si="14"/>
        <v>0</v>
      </c>
      <c r="S35" s="98"/>
      <c r="T35" s="98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</row>
    <row r="36" spans="1:45" x14ac:dyDescent="0.3">
      <c r="A36" s="7">
        <f t="shared" si="2"/>
        <v>13</v>
      </c>
      <c r="B36" s="8">
        <f t="shared" si="9"/>
        <v>46109</v>
      </c>
      <c r="C36" s="9" t="str" cm="1">
        <f t="array" ref="C36">_xlfn.XLOOKUP(E36,Masterdata!$B$31:$B$44,Masterdata!$A$31:$A$44,_xlfn.SWITCH(WEEKDAY($D36, 2), 1, "mandag", 2, "tirsdag", 3, "onsdag", 4, "torsdag", 5, "fredag", 6, "lørdag", 7, "søndag"),0)</f>
        <v>lørdag</v>
      </c>
      <c r="D36" s="29">
        <f t="shared" si="0"/>
        <v>7</v>
      </c>
      <c r="E36" s="70">
        <f t="shared" si="3"/>
        <v>46109</v>
      </c>
      <c r="F36" s="10" t="s">
        <v>23</v>
      </c>
      <c r="G36" s="12">
        <f>IF(OR(AND(F36="N",NOT(OR(C36="mandag",C36="tirsdag",C36="onsdag",C36="torsdag",C36="fredag"))),F36="F"),0,
        IF(OR(
            AND(Masterdata!$B$4&lt;&gt;DATE(1900,1,0), Masterdata!$B$4&lt;$E36),
            AND(Masterdata!$B$3&lt;&gt;DATE(1900,1,0), Masterdata!$B$3&gt;$E36)
        ),
        0, $X$7/(5-H36)))</f>
        <v>0</v>
      </c>
      <c r="H36" s="86">
        <f>SUMPRODUCT(COUNTIFS(Februar!$A$9:$A$39,$A36,Februar!$D$9:$D$39,"&lt;7",Februar!$F$9:$F$39,"F")+COUNTIFS($A$9:$A$38,$A36,$D$9:$D$38,"&lt;7",$F$9:$F$38,"F")+COUNTIFS(April!$A$9:$A$39,$A36,April!$D$9:$D$39,"&lt;7",April!$F$9:$F$39,"F"))</f>
        <v>0</v>
      </c>
      <c r="I36" s="11">
        <v>0</v>
      </c>
      <c r="J36" s="11">
        <v>0</v>
      </c>
      <c r="K36" s="11">
        <v>0</v>
      </c>
      <c r="L36" s="26" t="str">
        <f t="shared" si="12"/>
        <v>00:00</v>
      </c>
      <c r="M36" s="26" t="str">
        <f>IF(OR(F36="N",F36="F"),"0:00",
IF(
OR(
AND(Masterdata!$B$4&lt;&gt;DATE(1900,1,0),Masterdata!$B$4&lt;$E36),
AND(Masterdata!$B$3&lt;&gt;DATE(1900,1,0),Masterdata!$B$3&gt;$E36)
),"0:00",
IF(
$I36&gt;TIME(0,0,0),
IF(
NOT(OR($C36="mandag",$C36="tirsdag",$C36="onsdag",$C36="torsdag",$C36="fredag")),
TEXT($I36,"[tt]:mm"),
IF($I36-$G36&gt;=0,TEXT($I36-$G36,"[tt]:mm"),"-"&amp;TEXT(ABS($I36-$G36),"[tt]:mm"))
),
IF(
NOT(OR($C36="mandag",$C36="tirsdag",$C36="onsdag",$C36="torsdag",$C36="fredag")),
IF($K36-$J36&gt;=0,TEXT($K36-$J36,"[tt]:mm"),"-"&amp;TEXT(ABS($K36-$J36),"[tt]:mm")),
IF(
$K36-$J36-$G36&gt;=0,
TEXT($K36-$J36-$G36,"[tt]:mm"),
"-"&amp;TEXT(ABS($K36-$J36-$G36),"[tt]:mm")
)
)
)
))</f>
        <v>0:00</v>
      </c>
      <c r="N36" s="71" t="str">
        <f t="shared" si="13"/>
        <v>0</v>
      </c>
      <c r="O36" s="25" t="str">
        <f t="shared" si="5"/>
        <v>0:</v>
      </c>
      <c r="P36" s="52" t="str">
        <f t="shared" si="6"/>
        <v>0</v>
      </c>
      <c r="Q36" s="53">
        <f t="shared" si="10"/>
        <v>0</v>
      </c>
      <c r="R36" s="30">
        <f t="shared" si="14"/>
        <v>0</v>
      </c>
      <c r="S36" s="98"/>
      <c r="T36" s="98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</row>
    <row r="37" spans="1:45" x14ac:dyDescent="0.3">
      <c r="A37" s="7">
        <f t="shared" si="2"/>
        <v>13</v>
      </c>
      <c r="B37" s="8">
        <f t="shared" si="9"/>
        <v>46110</v>
      </c>
      <c r="C37" s="9" t="str" cm="1">
        <f t="array" ref="C37">_xlfn.XLOOKUP(E37,Masterdata!$B$31:$B$44,Masterdata!$A$31:$A$44,_xlfn.SWITCH(WEEKDAY($D37, 2), 1, "mandag", 2, "tirsdag", 3, "onsdag", 4, "torsdag", 5, "fredag", 6, "lørdag", 7, "søndag"),0)</f>
        <v>palmesøndag</v>
      </c>
      <c r="D37" s="29">
        <f t="shared" si="0"/>
        <v>8</v>
      </c>
      <c r="E37" s="70">
        <f t="shared" si="3"/>
        <v>46110</v>
      </c>
      <c r="F37" s="10" t="s">
        <v>23</v>
      </c>
      <c r="G37" s="12">
        <f>IF(OR(AND(F37="N",NOT(OR(C37="mandag",C37="tirsdag",C37="onsdag",C37="torsdag",C37="fredag"))),F37="F"),0,
        IF(OR(
            AND(Masterdata!$B$4&lt;&gt;DATE(1900,1,0), Masterdata!$B$4&lt;$E37),
            AND(Masterdata!$B$3&lt;&gt;DATE(1900,1,0), Masterdata!$B$3&gt;$E37)
        ),
        0, $X$7/(5-H37)))</f>
        <v>0</v>
      </c>
      <c r="H37" s="86">
        <f>SUMPRODUCT(COUNTIFS(Februar!$A$9:$A$39,$A37,Februar!$D$9:$D$39,"&lt;7",Februar!$F$9:$F$39,"F")+COUNTIFS($A$9:$A$38,$A37,$D$9:$D$38,"&lt;7",$F$9:$F$38,"F")+COUNTIFS(April!$A$9:$A$39,$A37,April!$D$9:$D$39,"&lt;7",April!$F$9:$F$39,"F"))</f>
        <v>0</v>
      </c>
      <c r="I37" s="11">
        <v>0</v>
      </c>
      <c r="J37" s="11">
        <v>0</v>
      </c>
      <c r="K37" s="11">
        <v>0</v>
      </c>
      <c r="L37" s="26" t="str">
        <f t="shared" si="12"/>
        <v>00:00</v>
      </c>
      <c r="M37" s="26" t="str">
        <f>IF(OR(F37="N",F37="F"),"0:00",
IF(
OR(
AND(Masterdata!$B$4&lt;&gt;DATE(1900,1,0),Masterdata!$B$4&lt;$E37),
AND(Masterdata!$B$3&lt;&gt;DATE(1900,1,0),Masterdata!$B$3&gt;$E37)
),"0:00",
IF(
$I37&gt;TIME(0,0,0),
IF(
NOT(OR($C37="mandag",$C37="tirsdag",$C37="onsdag",$C37="torsdag",$C37="fredag")),
TEXT($I37,"[tt]:mm"),
IF($I37-$G37&gt;=0,TEXT($I37-$G37,"[tt]:mm"),"-"&amp;TEXT(ABS($I37-$G37),"[tt]:mm"))
),
IF(
NOT(OR($C37="mandag",$C37="tirsdag",$C37="onsdag",$C37="torsdag",$C37="fredag")),
IF($K37-$J37&gt;=0,TEXT($K37-$J37,"[tt]:mm"),"-"&amp;TEXT(ABS($K37-$J37),"[tt]:mm")),
IF(
$K37-$J37-$G37&gt;=0,
TEXT($K37-$J37-$G37,"[tt]:mm"),
"-"&amp;TEXT(ABS($K37-$J37-$G37),"[tt]:mm")
)
)
)
))</f>
        <v>0:00</v>
      </c>
      <c r="N37" s="71" t="str">
        <f t="shared" si="13"/>
        <v>0</v>
      </c>
      <c r="O37" s="25" t="str">
        <f t="shared" si="5"/>
        <v>0:</v>
      </c>
      <c r="P37" s="52" t="str">
        <f t="shared" si="6"/>
        <v>0</v>
      </c>
      <c r="Q37" s="53">
        <f t="shared" si="10"/>
        <v>0</v>
      </c>
      <c r="R37" s="30">
        <f t="shared" si="14"/>
        <v>0</v>
      </c>
      <c r="S37" s="98"/>
      <c r="T37" s="98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</row>
    <row r="38" spans="1:45" x14ac:dyDescent="0.3">
      <c r="A38" s="7">
        <f t="shared" si="2"/>
        <v>14</v>
      </c>
      <c r="B38" s="8">
        <f t="shared" si="9"/>
        <v>46111</v>
      </c>
      <c r="C38" s="9" t="str" cm="1">
        <f t="array" ref="C38">_xlfn.XLOOKUP(E38,Masterdata!$B$31:$B$44,Masterdata!$A$31:$A$44,_xlfn.SWITCH(WEEKDAY($D38, 2), 1, "mandag", 2, "tirsdag", 3, "onsdag", 4, "torsdag", 5, "fredag", 6, "lørdag", 7, "søndag"),0)</f>
        <v>mandag</v>
      </c>
      <c r="D38" s="29">
        <f t="shared" si="0"/>
        <v>2</v>
      </c>
      <c r="E38" s="70">
        <f t="shared" si="3"/>
        <v>46111</v>
      </c>
      <c r="F38" s="10" t="s">
        <v>23</v>
      </c>
      <c r="G38" s="12">
        <f>IF(OR(AND(F38="N",NOT(OR(C38="mandag",C38="tirsdag",C38="onsdag",C38="torsdag",C38="fredag"))),F38="F"),0,
        IF(OR(
            AND(Masterdata!$B$4&lt;&gt;DATE(1900,1,0), Masterdata!$B$4&lt;$E38),
            AND(Masterdata!$B$3&lt;&gt;DATE(1900,1,0), Masterdata!$B$3&gt;$E38)
        ),
        0, $X$7/(5-H38)))</f>
        <v>0.30833333333333335</v>
      </c>
      <c r="H38" s="86">
        <f>SUMPRODUCT(COUNTIFS(Februar!$A$9:$A$39,$A38,Februar!$D$9:$D$39,"&lt;7",Februar!$F$9:$F$39,"F")+COUNTIFS($A$9:$A$38,$A38,$D$9:$D$38,"&lt;7",$F$9:$F$38,"F")+COUNTIFS(April!$A$9:$A$39,$A38,April!$D$9:$D$39,"&lt;7",April!$F$9:$F$39,"F"))</f>
        <v>0</v>
      </c>
      <c r="I38" s="11">
        <v>0</v>
      </c>
      <c r="J38" s="11">
        <v>0</v>
      </c>
      <c r="K38" s="11">
        <v>0</v>
      </c>
      <c r="L38" s="26" t="str">
        <f t="shared" si="12"/>
        <v>07:24</v>
      </c>
      <c r="M38" s="26" t="str">
        <f>IF(OR(F38="N",F38="F"),"0:00",
IF(
OR(
AND(Masterdata!$B$4&lt;&gt;DATE(1900,1,0),Masterdata!$B$4&lt;$E38),
AND(Masterdata!$B$3&lt;&gt;DATE(1900,1,0),Masterdata!$B$3&gt;$E38)
),"0:00",
IF(
$I38&gt;TIME(0,0,0),
IF(
NOT(OR($C38="mandag",$C38="tirsdag",$C38="onsdag",$C38="torsdag",$C38="fredag")),
TEXT($I38,"[tt]:mm"),
IF($I38-$G38&gt;=0,TEXT($I38-$G38,"[tt]:mm"),"-"&amp;TEXT(ABS($I38-$G38),"[tt]:mm"))
),
IF(
NOT(OR($C38="mandag",$C38="tirsdag",$C38="onsdag",$C38="torsdag",$C38="fredag")),
IF($K38-$J38&gt;=0,TEXT($K38-$J38,"[tt]:mm"),"-"&amp;TEXT(ABS($K38-$J38),"[tt]:mm")),
IF(
$K38-$J38-$G38&gt;=0,
TEXT($K38-$J38-$G38,"[tt]:mm"),
"-"&amp;TEXT(ABS($K38-$J38-$G38),"[tt]:mm")
)
)
)
))</f>
        <v>0:00</v>
      </c>
      <c r="N38" s="71" t="str">
        <f t="shared" ref="N38:N39" si="15">LEFT(M38,1)</f>
        <v>0</v>
      </c>
      <c r="O38" s="25" t="str">
        <f t="shared" si="5"/>
        <v>0:</v>
      </c>
      <c r="P38" s="52" t="str">
        <f t="shared" si="6"/>
        <v>0</v>
      </c>
      <c r="Q38" s="53">
        <f t="shared" ref="Q38:Q39" si="16">P38/60</f>
        <v>0</v>
      </c>
      <c r="R38" s="30">
        <f t="shared" ref="R38:R39" si="17">IF(N38="-",O38-Q38,O38+Q38)</f>
        <v>0</v>
      </c>
      <c r="S38" s="98"/>
      <c r="T38" s="98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</row>
    <row r="39" spans="1:45" x14ac:dyDescent="0.3">
      <c r="A39" s="7">
        <f t="shared" si="2"/>
        <v>14</v>
      </c>
      <c r="B39" s="8">
        <f t="shared" si="9"/>
        <v>46112</v>
      </c>
      <c r="C39" s="9" t="str" cm="1">
        <f t="array" ref="C39">_xlfn.XLOOKUP(E39,Masterdata!$B$31:$B$44,Masterdata!$A$31:$A$44,_xlfn.SWITCH(WEEKDAY($D39, 2), 1, "mandag", 2, "tirsdag", 3, "onsdag", 4, "torsdag", 5, "fredag", 6, "lørdag", 7, "søndag"),0)</f>
        <v>tirsdag</v>
      </c>
      <c r="D39" s="29">
        <f t="shared" si="0"/>
        <v>3</v>
      </c>
      <c r="E39" s="70">
        <f t="shared" si="3"/>
        <v>46112</v>
      </c>
      <c r="F39" s="10" t="s">
        <v>23</v>
      </c>
      <c r="G39" s="12">
        <f>IF(OR(AND(F39="N",NOT(OR(C39="mandag",C39="tirsdag",C39="onsdag",C39="torsdag",C39="fredag"))),F39="F"),0,
        IF(OR(
            AND(Masterdata!$B$4&lt;&gt;DATE(1900,1,0), Masterdata!$B$4&lt;$E39),
            AND(Masterdata!$B$3&lt;&gt;DATE(1900,1,0), Masterdata!$B$3&gt;$E39)
        ),
        0, $X$7/(5-H39)))</f>
        <v>0.30833333333333335</v>
      </c>
      <c r="H39" s="86">
        <f>SUMPRODUCT(COUNTIFS(Februar!$A$9:$A$39,$A39,Februar!$D$9:$D$39,"&lt;7",Februar!$F$9:$F$39,"F")+COUNTIFS($A$9:$A$38,$A39,$D$9:$D$38,"&lt;7",$F$9:$F$38,"F")+COUNTIFS(April!$A$9:$A$39,$A39,April!$D$9:$D$39,"&lt;7",April!$F$9:$F$39,"F"))</f>
        <v>0</v>
      </c>
      <c r="I39" s="11">
        <v>0</v>
      </c>
      <c r="J39" s="11">
        <v>0</v>
      </c>
      <c r="K39" s="11">
        <v>0</v>
      </c>
      <c r="L39" s="26" t="str">
        <f t="shared" si="12"/>
        <v>07:24</v>
      </c>
      <c r="M39" s="26" t="str">
        <f>IF(OR(F39="N",F39="F"),"0:00",
IF(
OR(
AND(Masterdata!$B$4&lt;&gt;DATE(1900,1,0),Masterdata!$B$4&lt;$E39),
AND(Masterdata!$B$3&lt;&gt;DATE(1900,1,0),Masterdata!$B$3&gt;$E39)
),"0:00",
IF(
$I39&gt;TIME(0,0,0),
IF(
NOT(OR($C39="mandag",$C39="tirsdag",$C39="onsdag",$C39="torsdag",$C39="fredag")),
TEXT($I39,"[tt]:mm"),
IF($I39-$G39&gt;=0,TEXT($I39-$G39,"[tt]:mm"),"-"&amp;TEXT(ABS($I39-$G39),"[tt]:mm"))
),
IF(
NOT(OR($C39="mandag",$C39="tirsdag",$C39="onsdag",$C39="torsdag",$C39="fredag")),
IF($K39-$J39&gt;=0,TEXT($K39-$J39,"[tt]:mm"),"-"&amp;TEXT(ABS($K39-$J39),"[tt]:mm")),
IF(
$K39-$J39-$G39&gt;=0,
TEXT($K39-$J39-$G39,"[tt]:mm"),
"-"&amp;TEXT(ABS($K39-$J39-$G39),"[tt]:mm")
)
)
)
))</f>
        <v>0:00</v>
      </c>
      <c r="N39" s="71" t="str">
        <f t="shared" si="15"/>
        <v>0</v>
      </c>
      <c r="O39" s="25" t="str">
        <f t="shared" si="5"/>
        <v>0:</v>
      </c>
      <c r="P39" s="52" t="str">
        <f t="shared" si="6"/>
        <v>0</v>
      </c>
      <c r="Q39" s="53">
        <f t="shared" si="16"/>
        <v>0</v>
      </c>
      <c r="R39" s="30">
        <f t="shared" si="17"/>
        <v>0</v>
      </c>
      <c r="S39" s="98"/>
      <c r="T39" s="98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</row>
    <row r="40" spans="1:45" x14ac:dyDescent="0.3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73"/>
      <c r="N40" s="29"/>
      <c r="O40" s="29"/>
      <c r="P40" s="29"/>
      <c r="Q40" s="29"/>
      <c r="R40" s="30">
        <f>SUM(R9:R39)</f>
        <v>0</v>
      </c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</row>
    <row r="41" spans="1:45" x14ac:dyDescent="0.3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</row>
    <row r="42" spans="1:45" x14ac:dyDescent="0.3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</row>
    <row r="43" spans="1:45" x14ac:dyDescent="0.3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</row>
    <row r="44" spans="1:45" x14ac:dyDescent="0.3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</row>
    <row r="45" spans="1:45" x14ac:dyDescent="0.3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</row>
    <row r="46" spans="1:45" x14ac:dyDescent="0.3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</row>
    <row r="47" spans="1:45" x14ac:dyDescent="0.3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</row>
    <row r="48" spans="1:45" x14ac:dyDescent="0.3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</row>
    <row r="49" spans="1:45" x14ac:dyDescent="0.3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</row>
    <row r="50" spans="1:45" x14ac:dyDescent="0.3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</row>
    <row r="51" spans="1:45" x14ac:dyDescent="0.3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</row>
    <row r="52" spans="1:45" x14ac:dyDescent="0.3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</row>
    <row r="53" spans="1:45" x14ac:dyDescent="0.3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</row>
    <row r="54" spans="1:45" x14ac:dyDescent="0.3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</row>
    <row r="55" spans="1:45" x14ac:dyDescent="0.3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</row>
    <row r="56" spans="1:45" x14ac:dyDescent="0.3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</row>
    <row r="57" spans="1:45" x14ac:dyDescent="0.3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</row>
    <row r="58" spans="1:45" x14ac:dyDescent="0.3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</row>
    <row r="59" spans="1:45" x14ac:dyDescent="0.3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</row>
    <row r="60" spans="1:45" x14ac:dyDescent="0.3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</row>
    <row r="61" spans="1:45" x14ac:dyDescent="0.3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</row>
    <row r="62" spans="1:45" x14ac:dyDescent="0.3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</row>
    <row r="63" spans="1:45" x14ac:dyDescent="0.3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</row>
    <row r="64" spans="1:45" x14ac:dyDescent="0.3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</row>
    <row r="65" spans="1:45" x14ac:dyDescent="0.3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</row>
    <row r="66" spans="1:45" x14ac:dyDescent="0.3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</row>
    <row r="67" spans="1:45" x14ac:dyDescent="0.3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</row>
    <row r="68" spans="1:45" x14ac:dyDescent="0.3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</row>
    <row r="69" spans="1:45" x14ac:dyDescent="0.3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</row>
    <row r="70" spans="1:45" x14ac:dyDescent="0.3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</row>
    <row r="71" spans="1:45" x14ac:dyDescent="0.3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</row>
    <row r="72" spans="1:45" x14ac:dyDescent="0.3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</row>
    <row r="73" spans="1:45" x14ac:dyDescent="0.3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</row>
    <row r="74" spans="1:45" x14ac:dyDescent="0.3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</row>
    <row r="75" spans="1:45" x14ac:dyDescent="0.3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</row>
    <row r="76" spans="1:45" x14ac:dyDescent="0.3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</row>
    <row r="77" spans="1:45" x14ac:dyDescent="0.3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</row>
    <row r="78" spans="1:45" x14ac:dyDescent="0.3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</row>
  </sheetData>
  <sheetProtection algorithmName="SHA-512" hashValue="dCMoa1yRHkly6o/ic5y6ny7hLMB2twMBVa231sOASgAIZ56jUS6PwXTbjB3JuveCuXtdq/eY+OWRfd6bfIzmvg==" saltValue="P5cDoTHJMM8bVWVn/f3glQ==" spinCount="100000" sheet="1" objects="1" scenarios="1"/>
  <mergeCells count="37">
    <mergeCell ref="S14:T14"/>
    <mergeCell ref="S2:T2"/>
    <mergeCell ref="S3:T3"/>
    <mergeCell ref="S4:T4"/>
    <mergeCell ref="S5:T5"/>
    <mergeCell ref="S6:T6"/>
    <mergeCell ref="S8:T8"/>
    <mergeCell ref="S9:T9"/>
    <mergeCell ref="S10:T10"/>
    <mergeCell ref="S11:T11"/>
    <mergeCell ref="S12:T12"/>
    <mergeCell ref="S13:T13"/>
    <mergeCell ref="S26:T26"/>
    <mergeCell ref="S15:T15"/>
    <mergeCell ref="S16:T16"/>
    <mergeCell ref="S17:T17"/>
    <mergeCell ref="S18:T18"/>
    <mergeCell ref="S19:T19"/>
    <mergeCell ref="S20:T20"/>
    <mergeCell ref="S21:T21"/>
    <mergeCell ref="S22:T22"/>
    <mergeCell ref="S23:T23"/>
    <mergeCell ref="S24:T24"/>
    <mergeCell ref="S25:T25"/>
    <mergeCell ref="S39:T39"/>
    <mergeCell ref="S38:T38"/>
    <mergeCell ref="S27:T27"/>
    <mergeCell ref="S28:T28"/>
    <mergeCell ref="S29:T29"/>
    <mergeCell ref="S30:T30"/>
    <mergeCell ref="S31:T31"/>
    <mergeCell ref="S32:T32"/>
    <mergeCell ref="S33:T33"/>
    <mergeCell ref="S34:T34"/>
    <mergeCell ref="S35:T35"/>
    <mergeCell ref="S36:T36"/>
    <mergeCell ref="S37:T37"/>
  </mergeCells>
  <conditionalFormatting sqref="A9:H39">
    <cfRule type="expression" dxfId="49" priority="1">
      <formula>$F9="F"</formula>
    </cfRule>
    <cfRule type="expression" dxfId="48" priority="3">
      <formula>OR(NOT(OR($C9="mandag", $C9="tirsdag",$C9="onsdag",$C9="torsdag",$C9="fredag")),$F9="F")</formula>
    </cfRule>
  </conditionalFormatting>
  <conditionalFormatting sqref="G9:H39">
    <cfRule type="expression" dxfId="47" priority="5">
      <formula>AND($F9="N", (OR($C9="mandag", $C9="tirsdag",$C9="onsdag",$C9="torsdag",$C9="fredag")))</formula>
    </cfRule>
  </conditionalFormatting>
  <conditionalFormatting sqref="I9:K39">
    <cfRule type="expression" dxfId="46" priority="2">
      <formula>OR($F9="N",$F9="F")</formula>
    </cfRule>
    <cfRule type="expression" dxfId="45" priority="4">
      <formula>$F9="R"</formula>
    </cfRule>
  </conditionalFormatting>
  <dataValidations count="2">
    <dataValidation type="list" allowBlank="1" showInputMessage="1" showErrorMessage="1" sqref="F9:F39" xr:uid="{AAC14FCA-204B-4898-84CA-9361861157E6}">
      <formula1>IF($B$2,$M$3:$M$5,$M$4:$M$5)</formula1>
    </dataValidation>
    <dataValidation type="time" allowBlank="1" showInputMessage="1" showErrorMessage="1" sqref="I9:K39" xr:uid="{C80B2835-82C7-4AA7-8417-839C605439FF}">
      <formula1>0</formula1>
      <formula2>0.999305555555556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E34A9-1832-467E-8CF7-3E48E45B3325}">
  <sheetPr codeName="Ark5"/>
  <dimension ref="A1:AS77"/>
  <sheetViews>
    <sheetView zoomScale="70" zoomScaleNormal="70" workbookViewId="0"/>
  </sheetViews>
  <sheetFormatPr defaultRowHeight="14.4" outlineLevelCol="1" x14ac:dyDescent="0.3"/>
  <cols>
    <col min="1" max="1" width="15.5546875" customWidth="1"/>
    <col min="2" max="2" width="14.109375" customWidth="1"/>
    <col min="3" max="3" width="16.6640625" customWidth="1"/>
    <col min="4" max="4" width="15" hidden="1" customWidth="1"/>
    <col min="5" max="5" width="12.88671875" hidden="1" customWidth="1"/>
    <col min="6" max="6" width="13.5546875" bestFit="1" customWidth="1"/>
    <col min="7" max="7" width="16.33203125" bestFit="1" customWidth="1"/>
    <col min="8" max="8" width="24.109375" hidden="1" customWidth="1"/>
    <col min="9" max="9" width="17.88671875" customWidth="1"/>
    <col min="10" max="11" width="11.33203125" customWidth="1"/>
    <col min="12" max="12" width="18.6640625" customWidth="1"/>
    <col min="13" max="13" width="11.5546875" customWidth="1"/>
    <col min="14" max="15" width="11.109375" hidden="1" customWidth="1" outlineLevel="1"/>
    <col min="16" max="16" width="7.6640625" hidden="1" customWidth="1" outlineLevel="1"/>
    <col min="17" max="18" width="7.5546875" hidden="1" customWidth="1" outlineLevel="1"/>
    <col min="19" max="19" width="53.44140625" customWidth="1" collapsed="1"/>
    <col min="20" max="20" width="29.44140625" customWidth="1"/>
    <col min="21" max="21" width="9.109375" hidden="1" customWidth="1" outlineLevel="1"/>
    <col min="22" max="22" width="24.6640625" hidden="1" customWidth="1" outlineLevel="1"/>
    <col min="23" max="23" width="43" hidden="1" customWidth="1" outlineLevel="1"/>
    <col min="24" max="24" width="14" hidden="1" customWidth="1" outlineLevel="1"/>
    <col min="25" max="25" width="19.44140625" customWidth="1" outlineLevel="1"/>
  </cols>
  <sheetData>
    <row r="1" spans="1:45" ht="16.5" customHeight="1" thickBot="1" x14ac:dyDescent="0.35">
      <c r="A1" s="14" t="s">
        <v>102</v>
      </c>
      <c r="B1" s="15">
        <v>37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</row>
    <row r="2" spans="1:45" ht="36" customHeight="1" x14ac:dyDescent="0.3">
      <c r="A2" s="39" t="s">
        <v>130</v>
      </c>
      <c r="B2" s="91" t="b">
        <v>0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48" t="s">
        <v>21</v>
      </c>
      <c r="N2" s="67"/>
      <c r="O2" s="67"/>
      <c r="P2" s="67"/>
      <c r="Q2" s="67"/>
      <c r="R2" s="67"/>
      <c r="S2" s="99" t="s">
        <v>22</v>
      </c>
      <c r="T2" s="100"/>
      <c r="U2" s="45"/>
      <c r="W2" s="45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</row>
    <row r="3" spans="1:45" ht="33.75" customHeight="1" x14ac:dyDescent="0.3">
      <c r="A3" s="38" t="s">
        <v>59</v>
      </c>
      <c r="B3" s="68" t="str">
        <f ca="1">Masterdata!$D$27</f>
        <v>00:00</v>
      </c>
      <c r="C3" s="46"/>
      <c r="D3" s="29"/>
      <c r="E3" s="29"/>
      <c r="F3" s="29"/>
      <c r="G3" s="29"/>
      <c r="H3" s="29"/>
      <c r="I3" s="29"/>
      <c r="J3" s="29"/>
      <c r="K3" s="88"/>
      <c r="L3" s="46"/>
      <c r="M3" s="89" t="s">
        <v>49</v>
      </c>
      <c r="N3" s="29"/>
      <c r="O3" s="29"/>
      <c r="P3" s="29"/>
      <c r="Q3" s="29"/>
      <c r="R3" s="29"/>
      <c r="S3" s="101" t="s">
        <v>131</v>
      </c>
      <c r="T3" s="102"/>
      <c r="U3" s="45"/>
      <c r="V3" s="45"/>
      <c r="W3" s="45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</row>
    <row r="4" spans="1:45" ht="28.8" x14ac:dyDescent="0.3">
      <c r="A4" s="39" t="s">
        <v>63</v>
      </c>
      <c r="B4" s="68" t="str">
        <f>IF(R39&lt;0,"-"&amp;TEXT(ABS(R39/24),"[tt]:mm"),TEXT(R39/24,"[tt]:mm"))</f>
        <v>00:00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35" t="s">
        <v>23</v>
      </c>
      <c r="N4" s="29"/>
      <c r="O4" s="29"/>
      <c r="P4" s="29"/>
      <c r="Q4" s="29"/>
      <c r="R4" s="29"/>
      <c r="S4" s="101" t="s">
        <v>24</v>
      </c>
      <c r="T4" s="102"/>
      <c r="U4" s="46"/>
      <c r="V4" s="46"/>
      <c r="W4" s="46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</row>
    <row r="5" spans="1:45" ht="59.1" customHeight="1" x14ac:dyDescent="0.3">
      <c r="A5" s="17" t="s">
        <v>2</v>
      </c>
      <c r="B5" s="40">
        <f>Masterdata!$B$5</f>
        <v>2026</v>
      </c>
      <c r="C5" s="29"/>
      <c r="D5" s="29"/>
      <c r="E5" s="29"/>
      <c r="F5" s="29"/>
      <c r="G5" s="29"/>
      <c r="H5" s="29"/>
      <c r="I5" s="29"/>
      <c r="J5" s="29"/>
      <c r="K5" s="29"/>
      <c r="L5" s="29"/>
      <c r="M5" s="35" t="s">
        <v>25</v>
      </c>
      <c r="N5" s="29"/>
      <c r="O5" s="29"/>
      <c r="P5" s="29"/>
      <c r="Q5" s="29"/>
      <c r="R5" s="29"/>
      <c r="S5" s="103" t="s">
        <v>120</v>
      </c>
      <c r="T5" s="104"/>
      <c r="U5" s="47"/>
      <c r="V5" s="47"/>
      <c r="W5" s="47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</row>
    <row r="6" spans="1:45" ht="15" thickBot="1" x14ac:dyDescent="0.35">
      <c r="A6" s="13" t="s">
        <v>20</v>
      </c>
      <c r="B6" s="18">
        <f>B9</f>
        <v>46113</v>
      </c>
      <c r="C6" s="29"/>
      <c r="D6" s="29"/>
      <c r="E6" s="29"/>
      <c r="F6" s="29"/>
      <c r="G6" s="29"/>
      <c r="H6" s="29"/>
      <c r="I6" s="29"/>
      <c r="J6" s="29"/>
      <c r="K6" s="29"/>
      <c r="L6" s="29"/>
      <c r="M6" s="36" t="s">
        <v>26</v>
      </c>
      <c r="N6" s="69"/>
      <c r="O6" s="69"/>
      <c r="P6" s="69"/>
      <c r="Q6" s="69"/>
      <c r="R6" s="69"/>
      <c r="S6" s="105" t="s">
        <v>27</v>
      </c>
      <c r="T6" s="106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</row>
    <row r="7" spans="1:45" ht="15" thickBot="1" x14ac:dyDescent="0.35">
      <c r="A7" s="29"/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87">
        <f>$B$1/24</f>
        <v>1.5416666666666667</v>
      </c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</row>
    <row r="8" spans="1:45" ht="21.75" customHeight="1" thickBot="1" x14ac:dyDescent="0.35">
      <c r="A8" s="4" t="s">
        <v>28</v>
      </c>
      <c r="B8" s="5" t="s">
        <v>29</v>
      </c>
      <c r="C8" s="5" t="s">
        <v>30</v>
      </c>
      <c r="D8" s="5" t="s">
        <v>31</v>
      </c>
      <c r="E8" s="5" t="s">
        <v>32</v>
      </c>
      <c r="F8" s="5" t="s">
        <v>21</v>
      </c>
      <c r="G8" s="5" t="s">
        <v>102</v>
      </c>
      <c r="H8" s="5" t="s">
        <v>129</v>
      </c>
      <c r="I8" s="5" t="s">
        <v>33</v>
      </c>
      <c r="J8" s="6" t="s">
        <v>34</v>
      </c>
      <c r="K8" s="6" t="s">
        <v>35</v>
      </c>
      <c r="L8" s="6" t="s">
        <v>103</v>
      </c>
      <c r="M8" s="5" t="s">
        <v>36</v>
      </c>
      <c r="N8" s="22" t="s">
        <v>37</v>
      </c>
      <c r="O8" s="23" t="s">
        <v>38</v>
      </c>
      <c r="P8" s="23" t="s">
        <v>39</v>
      </c>
      <c r="Q8" s="23"/>
      <c r="R8" s="29"/>
      <c r="S8" s="107" t="s">
        <v>40</v>
      </c>
      <c r="T8" s="108"/>
      <c r="U8" s="29"/>
      <c r="V8" s="29"/>
      <c r="W8" s="29" t="s">
        <v>41</v>
      </c>
      <c r="X8" s="29">
        <v>5</v>
      </c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</row>
    <row r="9" spans="1:45" x14ac:dyDescent="0.3">
      <c r="A9" s="7">
        <f>WEEKNUM($B9,21)</f>
        <v>14</v>
      </c>
      <c r="B9" s="8">
        <f>DATE(Masterdata!$B$5,4,1)</f>
        <v>46113</v>
      </c>
      <c r="C9" s="9" t="str" cm="1">
        <f t="array" ref="C9">_xlfn.XLOOKUP(E9,Masterdata!$B$31:$B$44,Masterdata!$A$31:$A$44,_xlfn.SWITCH(WEEKDAY($D9, 2), 1, "mandag", 2, "tirsdag", 3, "onsdag", 4, "torsdag", 5, "fredag", 6, "lørdag", 7, "søndag"),0)</f>
        <v>onsdag</v>
      </c>
      <c r="D9" s="29">
        <f t="shared" ref="D9:D38" si="0">WEEKDAY($B9, 2)+1</f>
        <v>4</v>
      </c>
      <c r="E9" s="70">
        <f>$B9</f>
        <v>46113</v>
      </c>
      <c r="F9" s="10" t="s">
        <v>23</v>
      </c>
      <c r="G9" s="12">
        <f>IF(OR(AND(F9="N",NOT(OR(C9="mandag",C9="tirsdag",C9="onsdag",C9="torsdag",C9="fredag"))),F9="F"),0,
        IF(OR(
            AND(Masterdata!$B$4&lt;&gt;DATE(1900,1,0), Masterdata!$B$4&lt;$E9),
            AND(Masterdata!$B$3&lt;&gt;DATE(1900,1,0), Masterdata!$B$3&gt;$E9)
        ),
        0, $X$7/(5-H9)))</f>
        <v>0.30833333333333335</v>
      </c>
      <c r="H9" s="86">
        <f>SUMPRODUCT(COUNTIFS(Marts!$A$9:$A$39,$A9,Marts!$D$9:$D$39,"&lt;7",Marts!$F$9:$F$39,"F")+COUNTIFS($A$9:$A$38,$A9,$D$9:$D$38,"&lt;7",$F$9:$F$38,"F")+COUNTIFS(Maj!$A$9:$A$39,$A9,Maj!$D$9:$D$39,"&lt;7",Maj!$F$9:$F$39,"F"))</f>
        <v>0</v>
      </c>
      <c r="I9" s="11">
        <v>0</v>
      </c>
      <c r="J9" s="11">
        <v>0</v>
      </c>
      <c r="K9" s="11">
        <v>0</v>
      </c>
      <c r="L9" s="26" t="str">
        <f t="shared" ref="L9:L15" si="1">IF($F9="F","00:00",
IF($F9="N",TEXT($G9,"[tt]:mm"),
IF($I9&lt;&gt;0,TEXT($I9,"[tt]:mm"),
IF($K9-$J9&gt;=0,
TEXT($K9-$J9,"[tt]:mm"),
"-"&amp;TEXT(ABS($K9-$J9),"[tt]:mm")))))</f>
        <v>07:24</v>
      </c>
      <c r="M9" s="26" t="str">
        <f>IF(OR(F9="N",F9="F"),"0:00",
IF(
OR(
AND(Masterdata!$B$4&lt;&gt;DATE(1900,1,0),Masterdata!$B$4&lt;$E9),
AND(Masterdata!$B$3&lt;&gt;DATE(1900,1,0),Masterdata!$B$3&gt;$E9)
),"0:00",
IF(
$I9&gt;TIME(0,0,0),
IF(
NOT(OR($C9="mandag",$C9="tirsdag",$C9="onsdag",$C9="torsdag",$C9="fredag")),
TEXT($I9,"[tt]:mm"),
IF($I9-$G9&gt;=0,TEXT($I9-$G9,"[tt]:mm"),"-"&amp;TEXT(ABS($I9-$G9),"[tt]:mm"))
),
IF(
NOT(OR($C9="mandag",$C9="tirsdag",$C9="onsdag",$C9="torsdag",$C9="fredag")),
IF($K9-$J9&gt;=0,TEXT($K9-$J9,"[tt]:mm"),"-"&amp;TEXT(ABS($K9-$J9),"[tt]:mm")),
IF(
$K9-$J9-$G9&gt;=0,
TEXT($K9-$J9-$G9,"[tt]:mm"),
"-"&amp;TEXT(ABS($K9-$J9-$G9),"[tt]:mm")
)
)
)
))</f>
        <v>0:00</v>
      </c>
      <c r="N9" s="71" t="str">
        <f>LEFT(M9,1)</f>
        <v>0</v>
      </c>
      <c r="O9" s="25" t="str">
        <f>IF($N9="-",LEFT($M9,3),LEFT($M9,2))</f>
        <v>0:</v>
      </c>
      <c r="P9" s="52" t="str">
        <f>IF($N9="-",MID($M9,5,2),MID($M9,4,2))</f>
        <v>0</v>
      </c>
      <c r="Q9" s="53">
        <f>P9/60</f>
        <v>0</v>
      </c>
      <c r="R9" s="30">
        <f>IF(N9="-",O9-Q9,O9+Q9)</f>
        <v>0</v>
      </c>
      <c r="S9" s="109"/>
      <c r="T9" s="109"/>
      <c r="U9" s="29"/>
      <c r="V9" s="29"/>
      <c r="W9" s="29" t="s">
        <v>42</v>
      </c>
      <c r="X9" s="72">
        <f>$B$1/X8</f>
        <v>7.4</v>
      </c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</row>
    <row r="10" spans="1:45" x14ac:dyDescent="0.3">
      <c r="A10" s="7">
        <f t="shared" ref="A10:A38" si="2">WEEKNUM($B10,21)</f>
        <v>14</v>
      </c>
      <c r="B10" s="8">
        <f>B9+1</f>
        <v>46114</v>
      </c>
      <c r="C10" s="9" t="str" cm="1">
        <f t="array" ref="C10">_xlfn.XLOOKUP(E10,Masterdata!$B$31:$B$44,Masterdata!$A$31:$A$44,_xlfn.SWITCH(WEEKDAY($D10, 2), 1, "mandag", 2, "tirsdag", 3, "onsdag", 4, "torsdag", 5, "fredag", 6, "lørdag", 7, "søndag"),0)</f>
        <v>skærtorsdag</v>
      </c>
      <c r="D10" s="29">
        <f t="shared" si="0"/>
        <v>5</v>
      </c>
      <c r="E10" s="70">
        <f t="shared" ref="E10:E38" si="3">$B10</f>
        <v>46114</v>
      </c>
      <c r="F10" s="10" t="s">
        <v>23</v>
      </c>
      <c r="G10" s="12">
        <f>IF(OR(AND(F10="N",NOT(OR(C10="mandag",C10="tirsdag",C10="onsdag",C10="torsdag",C10="fredag"))),F10="F"),0,
        IF(OR(
            AND(Masterdata!$B$4&lt;&gt;DATE(1900,1,0), Masterdata!$B$4&lt;$E10),
            AND(Masterdata!$B$3&lt;&gt;DATE(1900,1,0), Masterdata!$B$3&gt;$E10)
        ),
        0, $X$7/(5-H10)))</f>
        <v>0</v>
      </c>
      <c r="H10" s="86">
        <f>SUMPRODUCT(COUNTIFS(Marts!$A$9:$A$39,$A10,Marts!$D$9:$D$39,"&lt;7",Marts!$F$9:$F$39,"F")+COUNTIFS($A$9:$A$38,$A10,$D$9:$D$38,"&lt;7",$F$9:$F$38,"F")+COUNTIFS(Maj!$A$9:$A$39,$A10,Maj!$D$9:$D$39,"&lt;7",Maj!$F$9:$F$39,"F"))</f>
        <v>0</v>
      </c>
      <c r="I10" s="11">
        <v>0</v>
      </c>
      <c r="J10" s="11">
        <v>0</v>
      </c>
      <c r="K10" s="11">
        <v>0</v>
      </c>
      <c r="L10" s="26" t="str">
        <f t="shared" si="1"/>
        <v>00:00</v>
      </c>
      <c r="M10" s="26" t="str">
        <f>IF(OR(F10="N",F10="F"),"0:00",
IF(
OR(
AND(Masterdata!$B$4&lt;&gt;DATE(1900,1,0),Masterdata!$B$4&lt;$E10),
AND(Masterdata!$B$3&lt;&gt;DATE(1900,1,0),Masterdata!$B$3&gt;$E10)
),"0:00",
IF(
$I10&gt;TIME(0,0,0),
IF(
NOT(OR($C10="mandag",$C10="tirsdag",$C10="onsdag",$C10="torsdag",$C10="fredag")),
TEXT($I10,"[tt]:mm"),
IF($I10-$G10&gt;=0,TEXT($I10-$G10,"[tt]:mm"),"-"&amp;TEXT(ABS($I10-$G10),"[tt]:mm"))
),
IF(
NOT(OR($C10="mandag",$C10="tirsdag",$C10="onsdag",$C10="torsdag",$C10="fredag")),
IF($K10-$J10&gt;=0,TEXT($K10-$J10,"[tt]:mm"),"-"&amp;TEXT(ABS($K10-$J10),"[tt]:mm")),
IF(
$K10-$J10-$G10&gt;=0,
TEXT($K10-$J10-$G10,"[tt]:mm"),
"-"&amp;TEXT(ABS($K10-$J10-$G10),"[tt]:mm")
)
)
)
))</f>
        <v>0:00</v>
      </c>
      <c r="N10" s="71" t="str">
        <f t="shared" ref="N10:N20" si="4">LEFT(M10,1)</f>
        <v>0</v>
      </c>
      <c r="O10" s="25" t="str">
        <f t="shared" ref="O10:O38" si="5">IF($N10="-",LEFT($M10,3),LEFT($M10,2))</f>
        <v>0:</v>
      </c>
      <c r="P10" s="52" t="str">
        <f t="shared" ref="P10:P38" si="6">IF($N10="-",MID($M10,5,2),MID($M10,4,2))</f>
        <v>0</v>
      </c>
      <c r="Q10" s="53">
        <f t="shared" ref="Q10:Q14" si="7">P10/60</f>
        <v>0</v>
      </c>
      <c r="R10" s="30">
        <f t="shared" ref="R10:R14" si="8">IF(N10="-",O10-Q10,O10+Q10)</f>
        <v>0</v>
      </c>
      <c r="S10" s="109"/>
      <c r="T10" s="109"/>
      <c r="U10" s="29"/>
      <c r="V10" s="29"/>
      <c r="W10" s="29" t="s">
        <v>43</v>
      </c>
      <c r="X10" s="73">
        <f>X9/24</f>
        <v>0.30833333333333335</v>
      </c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</row>
    <row r="11" spans="1:45" x14ac:dyDescent="0.3">
      <c r="A11" s="7">
        <f t="shared" si="2"/>
        <v>14</v>
      </c>
      <c r="B11" s="8">
        <f t="shared" ref="B11:B38" si="9">B10+1</f>
        <v>46115</v>
      </c>
      <c r="C11" s="9" t="str" cm="1">
        <f t="array" ref="C11">_xlfn.XLOOKUP(E11,Masterdata!$B$31:$B$44,Masterdata!$A$31:$A$44,_xlfn.SWITCH(WEEKDAY($D11, 2), 1, "mandag", 2, "tirsdag", 3, "onsdag", 4, "torsdag", 5, "fredag", 6, "lørdag", 7, "søndag"),0)</f>
        <v>langfredag</v>
      </c>
      <c r="D11" s="29">
        <f t="shared" si="0"/>
        <v>6</v>
      </c>
      <c r="E11" s="70">
        <f t="shared" si="3"/>
        <v>46115</v>
      </c>
      <c r="F11" s="10" t="s">
        <v>23</v>
      </c>
      <c r="G11" s="12">
        <f>IF(OR(AND(F11="N",NOT(OR(C11="mandag",C11="tirsdag",C11="onsdag",C11="torsdag",C11="fredag"))),F11="F"),0,
        IF(OR(
            AND(Masterdata!$B$4&lt;&gt;DATE(1900,1,0), Masterdata!$B$4&lt;$E11),
            AND(Masterdata!$B$3&lt;&gt;DATE(1900,1,0), Masterdata!$B$3&gt;$E11)
        ),
        0, $X$7/(5-H11)))</f>
        <v>0</v>
      </c>
      <c r="H11" s="86">
        <f>SUMPRODUCT(COUNTIFS(Marts!$A$9:$A$39,$A11,Marts!$D$9:$D$39,"&lt;7",Marts!$F$9:$F$39,"F")+COUNTIFS($A$9:$A$38,$A11,$D$9:$D$38,"&lt;7",$F$9:$F$38,"F")+COUNTIFS(Maj!$A$9:$A$39,$A11,Maj!$D$9:$D$39,"&lt;7",Maj!$F$9:$F$39,"F"))</f>
        <v>0</v>
      </c>
      <c r="I11" s="11">
        <v>0</v>
      </c>
      <c r="J11" s="11">
        <v>0</v>
      </c>
      <c r="K11" s="11">
        <v>0</v>
      </c>
      <c r="L11" s="26" t="str">
        <f t="shared" si="1"/>
        <v>00:00</v>
      </c>
      <c r="M11" s="26" t="str">
        <f>IF(OR(F11="N",F11="F"),"0:00",
IF(
OR(
AND(Masterdata!$B$4&lt;&gt;DATE(1900,1,0),Masterdata!$B$4&lt;$E11),
AND(Masterdata!$B$3&lt;&gt;DATE(1900,1,0),Masterdata!$B$3&gt;$E11)
),"0:00",
IF(
$I11&gt;TIME(0,0,0),
IF(
NOT(OR($C11="mandag",$C11="tirsdag",$C11="onsdag",$C11="torsdag",$C11="fredag")),
TEXT($I11,"[tt]:mm"),
IF($I11-$G11&gt;=0,TEXT($I11-$G11,"[tt]:mm"),"-"&amp;TEXT(ABS($I11-$G11),"[tt]:mm"))
),
IF(
NOT(OR($C11="mandag",$C11="tirsdag",$C11="onsdag",$C11="torsdag",$C11="fredag")),
IF($K11-$J11&gt;=0,TEXT($K11-$J11,"[tt]:mm"),"-"&amp;TEXT(ABS($K11-$J11),"[tt]:mm")),
IF(
$K11-$J11-$G11&gt;=0,
TEXT($K11-$J11-$G11,"[tt]:mm"),
"-"&amp;TEXT(ABS($K11-$J11-$G11),"[tt]:mm")
)
)
)
))</f>
        <v>0:00</v>
      </c>
      <c r="N11" s="71" t="str">
        <f t="shared" si="4"/>
        <v>0</v>
      </c>
      <c r="O11" s="25" t="str">
        <f t="shared" si="5"/>
        <v>0:</v>
      </c>
      <c r="P11" s="52" t="str">
        <f t="shared" si="6"/>
        <v>0</v>
      </c>
      <c r="Q11" s="53">
        <f t="shared" si="7"/>
        <v>0</v>
      </c>
      <c r="R11" s="30">
        <f t="shared" si="8"/>
        <v>0</v>
      </c>
      <c r="S11" s="109"/>
      <c r="T11" s="109"/>
      <c r="U11" s="29" t="s">
        <v>23</v>
      </c>
      <c r="V11" s="29" t="s">
        <v>44</v>
      </c>
      <c r="W11" s="29" t="s">
        <v>45</v>
      </c>
      <c r="X11" s="30">
        <f>(B1/37)*160.33</f>
        <v>160.33000000000001</v>
      </c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</row>
    <row r="12" spans="1:45" x14ac:dyDescent="0.3">
      <c r="A12" s="7">
        <f t="shared" si="2"/>
        <v>14</v>
      </c>
      <c r="B12" s="8">
        <f t="shared" si="9"/>
        <v>46116</v>
      </c>
      <c r="C12" s="9" t="str" cm="1">
        <f t="array" ref="C12">_xlfn.XLOOKUP(E12,Masterdata!$B$31:$B$44,Masterdata!$A$31:$A$44,_xlfn.SWITCH(WEEKDAY($D12, 2), 1, "mandag", 2, "tirsdag", 3, "onsdag", 4, "torsdag", 5, "fredag", 6, "lørdag", 7, "søndag"),0)</f>
        <v>lørdag</v>
      </c>
      <c r="D12" s="29">
        <f t="shared" si="0"/>
        <v>7</v>
      </c>
      <c r="E12" s="70">
        <f t="shared" si="3"/>
        <v>46116</v>
      </c>
      <c r="F12" s="10" t="s">
        <v>23</v>
      </c>
      <c r="G12" s="12">
        <f>IF(OR(AND(F12="N",NOT(OR(C12="mandag",C12="tirsdag",C12="onsdag",C12="torsdag",C12="fredag"))),F12="F"),0,
        IF(OR(
            AND(Masterdata!$B$4&lt;&gt;DATE(1900,1,0), Masterdata!$B$4&lt;$E12),
            AND(Masterdata!$B$3&lt;&gt;DATE(1900,1,0), Masterdata!$B$3&gt;$E12)
        ),
        0, $X$7/(5-H12)))</f>
        <v>0</v>
      </c>
      <c r="H12" s="86">
        <f>SUMPRODUCT(COUNTIFS(Marts!$A$9:$A$39,$A12,Marts!$D$9:$D$39,"&lt;7",Marts!$F$9:$F$39,"F")+COUNTIFS($A$9:$A$38,$A12,$D$9:$D$38,"&lt;7",$F$9:$F$38,"F")+COUNTIFS(Maj!$A$9:$A$39,$A12,Maj!$D$9:$D$39,"&lt;7",Maj!$F$9:$F$39,"F"))</f>
        <v>0</v>
      </c>
      <c r="I12" s="11">
        <v>0</v>
      </c>
      <c r="J12" s="11">
        <v>0</v>
      </c>
      <c r="K12" s="11">
        <v>0</v>
      </c>
      <c r="L12" s="26" t="str">
        <f t="shared" si="1"/>
        <v>00:00</v>
      </c>
      <c r="M12" s="26" t="str">
        <f>IF(OR(F12="N",F12="F"),"0:00",
IF(
OR(
AND(Masterdata!$B$4&lt;&gt;DATE(1900,1,0),Masterdata!$B$4&lt;$E12),
AND(Masterdata!$B$3&lt;&gt;DATE(1900,1,0),Masterdata!$B$3&gt;$E12)
),"0:00",
IF(
$I12&gt;TIME(0,0,0),
IF(
NOT(OR($C12="mandag",$C12="tirsdag",$C12="onsdag",$C12="torsdag",$C12="fredag")),
TEXT($I12,"[tt]:mm"),
IF($I12-$G12&gt;=0,TEXT($I12-$G12,"[tt]:mm"),"-"&amp;TEXT(ABS($I12-$G12),"[tt]:mm"))
),
IF(
NOT(OR($C12="mandag",$C12="tirsdag",$C12="onsdag",$C12="torsdag",$C12="fredag")),
IF($K12-$J12&gt;=0,TEXT($K12-$J12,"[tt]:mm"),"-"&amp;TEXT(ABS($K12-$J12),"[tt]:mm")),
IF(
$K12-$J12-$G12&gt;=0,
TEXT($K12-$J12-$G12,"[tt]:mm"),
"-"&amp;TEXT(ABS($K12-$J12-$G12),"[tt]:mm")
)
)
)
))</f>
        <v>0:00</v>
      </c>
      <c r="N12" s="71" t="str">
        <f t="shared" si="4"/>
        <v>0</v>
      </c>
      <c r="O12" s="25" t="str">
        <f t="shared" si="5"/>
        <v>0:</v>
      </c>
      <c r="P12" s="52" t="str">
        <f t="shared" si="6"/>
        <v>0</v>
      </c>
      <c r="Q12" s="53">
        <f t="shared" si="7"/>
        <v>0</v>
      </c>
      <c r="R12" s="30">
        <f t="shared" si="8"/>
        <v>0</v>
      </c>
      <c r="S12" s="109"/>
      <c r="T12" s="10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</row>
    <row r="13" spans="1:45" x14ac:dyDescent="0.3">
      <c r="A13" s="7">
        <f t="shared" si="2"/>
        <v>14</v>
      </c>
      <c r="B13" s="8">
        <f t="shared" si="9"/>
        <v>46117</v>
      </c>
      <c r="C13" s="9" t="str" cm="1">
        <f t="array" ref="C13">_xlfn.XLOOKUP(E13,Masterdata!$B$31:$B$44,Masterdata!$A$31:$A$44,_xlfn.SWITCH(WEEKDAY($D13, 2), 1, "mandag", 2, "tirsdag", 3, "onsdag", 4, "torsdag", 5, "fredag", 6, "lørdag", 7, "søndag"),0)</f>
        <v>påskedag</v>
      </c>
      <c r="D13" s="29">
        <f t="shared" si="0"/>
        <v>8</v>
      </c>
      <c r="E13" s="70">
        <f t="shared" si="3"/>
        <v>46117</v>
      </c>
      <c r="F13" s="10" t="s">
        <v>23</v>
      </c>
      <c r="G13" s="12">
        <f>IF(OR(AND(F13="N",NOT(OR(C13="mandag",C13="tirsdag",C13="onsdag",C13="torsdag",C13="fredag"))),F13="F"),0,
        IF(OR(
            AND(Masterdata!$B$4&lt;&gt;DATE(1900,1,0), Masterdata!$B$4&lt;$E13),
            AND(Masterdata!$B$3&lt;&gt;DATE(1900,1,0), Masterdata!$B$3&gt;$E13)
        ),
        0, $X$7/(5-H13)))</f>
        <v>0</v>
      </c>
      <c r="H13" s="86">
        <f>SUMPRODUCT(COUNTIFS(Marts!$A$9:$A$39,$A13,Marts!$D$9:$D$39,"&lt;7",Marts!$F$9:$F$39,"F")+COUNTIFS($A$9:$A$38,$A13,$D$9:$D$38,"&lt;7",$F$9:$F$38,"F")+COUNTIFS(Maj!$A$9:$A$39,$A13,Maj!$D$9:$D$39,"&lt;7",Maj!$F$9:$F$39,"F"))</f>
        <v>0</v>
      </c>
      <c r="I13" s="11">
        <v>0</v>
      </c>
      <c r="J13" s="11">
        <v>0</v>
      </c>
      <c r="K13" s="11">
        <v>0</v>
      </c>
      <c r="L13" s="26" t="str">
        <f t="shared" si="1"/>
        <v>00:00</v>
      </c>
      <c r="M13" s="26" t="str">
        <f>IF(OR(F13="N",F13="F"),"0:00",
IF(
OR(
AND(Masterdata!$B$4&lt;&gt;DATE(1900,1,0),Masterdata!$B$4&lt;$E13),
AND(Masterdata!$B$3&lt;&gt;DATE(1900,1,0),Masterdata!$B$3&gt;$E13)
),"0:00",
IF(
$I13&gt;TIME(0,0,0),
IF(
NOT(OR($C13="mandag",$C13="tirsdag",$C13="onsdag",$C13="torsdag",$C13="fredag")),
TEXT($I13,"[tt]:mm"),
IF($I13-$G13&gt;=0,TEXT($I13-$G13,"[tt]:mm"),"-"&amp;TEXT(ABS($I13-$G13),"[tt]:mm"))
),
IF(
NOT(OR($C13="mandag",$C13="tirsdag",$C13="onsdag",$C13="torsdag",$C13="fredag")),
IF($K13-$J13&gt;=0,TEXT($K13-$J13,"[tt]:mm"),"-"&amp;TEXT(ABS($K13-$J13),"[tt]:mm")),
IF(
$K13-$J13-$G13&gt;=0,
TEXT($K13-$J13-$G13,"[tt]:mm"),
"-"&amp;TEXT(ABS($K13-$J13-$G13),"[tt]:mm")
)
)
)
))</f>
        <v>0:00</v>
      </c>
      <c r="N13" s="71" t="str">
        <f t="shared" si="4"/>
        <v>0</v>
      </c>
      <c r="O13" s="25" t="str">
        <f t="shared" si="5"/>
        <v>0:</v>
      </c>
      <c r="P13" s="52" t="str">
        <f t="shared" si="6"/>
        <v>0</v>
      </c>
      <c r="Q13" s="53">
        <f t="shared" si="7"/>
        <v>0</v>
      </c>
      <c r="R13" s="30">
        <f t="shared" si="8"/>
        <v>0</v>
      </c>
      <c r="S13" s="109"/>
      <c r="T13" s="109"/>
      <c r="U13" s="29"/>
      <c r="V13" s="29"/>
      <c r="W13" s="29"/>
      <c r="X13" s="30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</row>
    <row r="14" spans="1:45" x14ac:dyDescent="0.3">
      <c r="A14" s="7">
        <f t="shared" si="2"/>
        <v>15</v>
      </c>
      <c r="B14" s="8">
        <f t="shared" si="9"/>
        <v>46118</v>
      </c>
      <c r="C14" s="9" t="str" cm="1">
        <f t="array" ref="C14">_xlfn.XLOOKUP(E14,Masterdata!$B$31:$B$44,Masterdata!$A$31:$A$44,_xlfn.SWITCH(WEEKDAY($D14, 2), 1, "mandag", 2, "tirsdag", 3, "onsdag", 4, "torsdag", 5, "fredag", 6, "lørdag", 7, "søndag"),0)</f>
        <v>2. påskedag</v>
      </c>
      <c r="D14" s="29">
        <f t="shared" si="0"/>
        <v>2</v>
      </c>
      <c r="E14" s="70">
        <f t="shared" si="3"/>
        <v>46118</v>
      </c>
      <c r="F14" s="10" t="s">
        <v>23</v>
      </c>
      <c r="G14" s="12">
        <f>IF(OR(AND(F14="N",NOT(OR(C14="mandag",C14="tirsdag",C14="onsdag",C14="torsdag",C14="fredag"))),F14="F"),0,
        IF(OR(
            AND(Masterdata!$B$4&lt;&gt;DATE(1900,1,0), Masterdata!$B$4&lt;$E14),
            AND(Masterdata!$B$3&lt;&gt;DATE(1900,1,0), Masterdata!$B$3&gt;$E14)
        ),
        0, $X$7/(5-H14)))</f>
        <v>0</v>
      </c>
      <c r="H14" s="86">
        <f>SUMPRODUCT(COUNTIFS(Marts!$A$9:$A$39,$A14,Marts!$D$9:$D$39,"&lt;7",Marts!$F$9:$F$39,"F")+COUNTIFS($A$9:$A$38,$A14,$D$9:$D$38,"&lt;7",$F$9:$F$38,"F")+COUNTIFS(Maj!$A$9:$A$39,$A14,Maj!$D$9:$D$39,"&lt;7",Maj!$F$9:$F$39,"F"))</f>
        <v>0</v>
      </c>
      <c r="I14" s="11">
        <v>0</v>
      </c>
      <c r="J14" s="11">
        <v>0</v>
      </c>
      <c r="K14" s="11">
        <v>0</v>
      </c>
      <c r="L14" s="26" t="str">
        <f t="shared" si="1"/>
        <v>00:00</v>
      </c>
      <c r="M14" s="26" t="str">
        <f>IF(OR(F14="N",F14="F"),"0:00",
IF(
OR(
AND(Masterdata!$B$4&lt;&gt;DATE(1900,1,0),Masterdata!$B$4&lt;$E14),
AND(Masterdata!$B$3&lt;&gt;DATE(1900,1,0),Masterdata!$B$3&gt;$E14)
),"0:00",
IF(
$I14&gt;TIME(0,0,0),
IF(
NOT(OR($C14="mandag",$C14="tirsdag",$C14="onsdag",$C14="torsdag",$C14="fredag")),
TEXT($I14,"[tt]:mm"),
IF($I14-$G14&gt;=0,TEXT($I14-$G14,"[tt]:mm"),"-"&amp;TEXT(ABS($I14-$G14),"[tt]:mm"))
),
IF(
NOT(OR($C14="mandag",$C14="tirsdag",$C14="onsdag",$C14="torsdag",$C14="fredag")),
IF($K14-$J14&gt;=0,TEXT($K14-$J14,"[tt]:mm"),"-"&amp;TEXT(ABS($K14-$J14),"[tt]:mm")),
IF(
$K14-$J14-$G14&gt;=0,
TEXT($K14-$J14-$G14,"[tt]:mm"),
"-"&amp;TEXT(ABS($K14-$J14-$G14),"[tt]:mm")
)
)
)
))</f>
        <v>0:00</v>
      </c>
      <c r="N14" s="71" t="str">
        <f t="shared" si="4"/>
        <v>0</v>
      </c>
      <c r="O14" s="25" t="str">
        <f t="shared" si="5"/>
        <v>0:</v>
      </c>
      <c r="P14" s="52" t="str">
        <f t="shared" si="6"/>
        <v>0</v>
      </c>
      <c r="Q14" s="53">
        <f t="shared" si="7"/>
        <v>0</v>
      </c>
      <c r="R14" s="30">
        <f t="shared" si="8"/>
        <v>0</v>
      </c>
      <c r="S14" s="98"/>
      <c r="T14" s="98"/>
      <c r="U14" s="29"/>
      <c r="V14" s="29"/>
      <c r="W14" s="29"/>
      <c r="X14" s="74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</row>
    <row r="15" spans="1:45" x14ac:dyDescent="0.3">
      <c r="A15" s="7">
        <f t="shared" si="2"/>
        <v>15</v>
      </c>
      <c r="B15" s="8">
        <f t="shared" si="9"/>
        <v>46119</v>
      </c>
      <c r="C15" s="9" t="str" cm="1">
        <f t="array" ref="C15">_xlfn.XLOOKUP(E15,Masterdata!$B$31:$B$44,Masterdata!$A$31:$A$44,_xlfn.SWITCH(WEEKDAY($D15, 2), 1, "mandag", 2, "tirsdag", 3, "onsdag", 4, "torsdag", 5, "fredag", 6, "lørdag", 7, "søndag"),0)</f>
        <v>tirsdag</v>
      </c>
      <c r="D15" s="29">
        <f t="shared" si="0"/>
        <v>3</v>
      </c>
      <c r="E15" s="70">
        <f t="shared" si="3"/>
        <v>46119</v>
      </c>
      <c r="F15" s="10" t="s">
        <v>23</v>
      </c>
      <c r="G15" s="12">
        <f>IF(OR(AND(F15="N",NOT(OR(C15="mandag",C15="tirsdag",C15="onsdag",C15="torsdag",C15="fredag"))),F15="F"),0,
        IF(OR(
            AND(Masterdata!$B$4&lt;&gt;DATE(1900,1,0), Masterdata!$B$4&lt;$E15),
            AND(Masterdata!$B$3&lt;&gt;DATE(1900,1,0), Masterdata!$B$3&gt;$E15)
        ),
        0, $X$7/(5-H15)))</f>
        <v>0.30833333333333335</v>
      </c>
      <c r="H15" s="86">
        <f>SUMPRODUCT(COUNTIFS(Marts!$A$9:$A$39,$A15,Marts!$D$9:$D$39,"&lt;7",Marts!$F$9:$F$39,"F")+COUNTIFS($A$9:$A$38,$A15,$D$9:$D$38,"&lt;7",$F$9:$F$38,"F")+COUNTIFS(Maj!$A$9:$A$39,$A15,Maj!$D$9:$D$39,"&lt;7",Maj!$F$9:$F$39,"F"))</f>
        <v>0</v>
      </c>
      <c r="I15" s="11">
        <v>0</v>
      </c>
      <c r="J15" s="11">
        <v>0</v>
      </c>
      <c r="K15" s="11">
        <v>0</v>
      </c>
      <c r="L15" s="26" t="str">
        <f t="shared" si="1"/>
        <v>07:24</v>
      </c>
      <c r="M15" s="26" t="str">
        <f>IF(OR(F15="N",F15="F"),"0:00",
IF(
OR(
AND(Masterdata!$B$4&lt;&gt;DATE(1900,1,0),Masterdata!$B$4&lt;$E15),
AND(Masterdata!$B$3&lt;&gt;DATE(1900,1,0),Masterdata!$B$3&gt;$E15)
),"0:00",
IF(
$I15&gt;TIME(0,0,0),
IF(
NOT(OR($C15="mandag",$C15="tirsdag",$C15="onsdag",$C15="torsdag",$C15="fredag")),
TEXT($I15,"[tt]:mm"),
IF($I15-$G15&gt;=0,TEXT($I15-$G15,"[tt]:mm"),"-"&amp;TEXT(ABS($I15-$G15),"[tt]:mm"))
),
IF(
NOT(OR($C15="mandag",$C15="tirsdag",$C15="onsdag",$C15="torsdag",$C15="fredag")),
IF($K15-$J15&gt;=0,TEXT($K15-$J15,"[tt]:mm"),"-"&amp;TEXT(ABS($K15-$J15),"[tt]:mm")),
IF(
$K15-$J15-$G15&gt;=0,
TEXT($K15-$J15-$G15,"[tt]:mm"),
"-"&amp;TEXT(ABS($K15-$J15-$G15),"[tt]:mm")
)
)
)
))</f>
        <v>0:00</v>
      </c>
      <c r="N15" s="71" t="str">
        <f t="shared" si="4"/>
        <v>0</v>
      </c>
      <c r="O15" s="25" t="str">
        <f t="shared" si="5"/>
        <v>0:</v>
      </c>
      <c r="P15" s="52" t="str">
        <f t="shared" si="6"/>
        <v>0</v>
      </c>
      <c r="Q15" s="53">
        <f>P15/60</f>
        <v>0</v>
      </c>
      <c r="R15" s="30">
        <f>IF(N15="-",O15-Q15,O15+Q15)</f>
        <v>0</v>
      </c>
      <c r="S15" s="98"/>
      <c r="T15" s="98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</row>
    <row r="16" spans="1:45" x14ac:dyDescent="0.3">
      <c r="A16" s="7">
        <f t="shared" si="2"/>
        <v>15</v>
      </c>
      <c r="B16" s="8">
        <f t="shared" si="9"/>
        <v>46120</v>
      </c>
      <c r="C16" s="9" t="str" cm="1">
        <f t="array" ref="C16">_xlfn.XLOOKUP(E16,Masterdata!$B$31:$B$44,Masterdata!$A$31:$A$44,_xlfn.SWITCH(WEEKDAY($D16, 2), 1, "mandag", 2, "tirsdag", 3, "onsdag", 4, "torsdag", 5, "fredag", 6, "lørdag", 7, "søndag"),0)</f>
        <v>onsdag</v>
      </c>
      <c r="D16" s="29">
        <f t="shared" si="0"/>
        <v>4</v>
      </c>
      <c r="E16" s="70">
        <f t="shared" si="3"/>
        <v>46120</v>
      </c>
      <c r="F16" s="10" t="s">
        <v>23</v>
      </c>
      <c r="G16" s="12">
        <f>IF(OR(AND(F16="N",NOT(OR(C16="mandag",C16="tirsdag",C16="onsdag",C16="torsdag",C16="fredag"))),F16="F"),0,
        IF(OR(
            AND(Masterdata!$B$4&lt;&gt;DATE(1900,1,0), Masterdata!$B$4&lt;$E16),
            AND(Masterdata!$B$3&lt;&gt;DATE(1900,1,0), Masterdata!$B$3&gt;$E16)
        ),
        0, $X$7/(5-H16)))</f>
        <v>0.30833333333333335</v>
      </c>
      <c r="H16" s="86">
        <f>SUMPRODUCT(COUNTIFS(Marts!$A$9:$A$39,$A16,Marts!$D$9:$D$39,"&lt;7",Marts!$F$9:$F$39,"F")+COUNTIFS($A$9:$A$38,$A16,$D$9:$D$38,"&lt;7",$F$9:$F$38,"F")+COUNTIFS(Maj!$A$9:$A$39,$A16,Maj!$D$9:$D$39,"&lt;7",Maj!$F$9:$F$39,"F"))</f>
        <v>0</v>
      </c>
      <c r="I16" s="11">
        <v>0</v>
      </c>
      <c r="J16" s="11">
        <v>0</v>
      </c>
      <c r="K16" s="11">
        <v>0</v>
      </c>
      <c r="L16" s="26" t="str">
        <f>IF($F16="F","00:00",
IF($F16="N",TEXT($G16,"[tt]:mm"),
IF($I16&lt;&gt;0,TEXT($I16,"[tt]:mm"),
IF($K16-$J16&gt;=0,
TEXT($K16-$J16,"[tt]:mm"),
"-"&amp;TEXT(ABS($K16-$J16),"[tt]:mm")))))</f>
        <v>07:24</v>
      </c>
      <c r="M16" s="26" t="str">
        <f>IF(OR(F16="N",F16="F"),"0:00",
IF(
OR(
AND(Masterdata!$B$4&lt;&gt;DATE(1900,1,0),Masterdata!$B$4&lt;$E16),
AND(Masterdata!$B$3&lt;&gt;DATE(1900,1,0),Masterdata!$B$3&gt;$E16)
),"0:00",
IF(
$I16&gt;TIME(0,0,0),
IF(
NOT(OR($C16="mandag",$C16="tirsdag",$C16="onsdag",$C16="torsdag",$C16="fredag")),
TEXT($I16,"[tt]:mm"),
IF($I16-$G16&gt;=0,TEXT($I16-$G16,"[tt]:mm"),"-"&amp;TEXT(ABS($I16-$G16),"[tt]:mm"))
),
IF(
NOT(OR($C16="mandag",$C16="tirsdag",$C16="onsdag",$C16="torsdag",$C16="fredag")),
IF($K16-$J16&gt;=0,TEXT($K16-$J16,"[tt]:mm"),"-"&amp;TEXT(ABS($K16-$J16),"[tt]:mm")),
IF(
$K16-$J16-$G16&gt;=0,
TEXT($K16-$J16-$G16,"[tt]:mm"),
"-"&amp;TEXT(ABS($K16-$J16-$G16),"[tt]:mm")
)
)
)
))</f>
        <v>0:00</v>
      </c>
      <c r="N16" s="71" t="str">
        <f t="shared" si="4"/>
        <v>0</v>
      </c>
      <c r="O16" s="25" t="str">
        <f t="shared" si="5"/>
        <v>0:</v>
      </c>
      <c r="P16" s="52" t="str">
        <f t="shared" si="6"/>
        <v>0</v>
      </c>
      <c r="Q16" s="53">
        <f t="shared" ref="Q16:Q38" si="10">P16/60</f>
        <v>0</v>
      </c>
      <c r="R16" s="30">
        <f t="shared" ref="R16:R20" si="11">IF(N16="-",O16-Q16,O16+Q16)</f>
        <v>0</v>
      </c>
      <c r="S16" s="98"/>
      <c r="T16" s="98"/>
      <c r="U16" s="29" t="s">
        <v>46</v>
      </c>
      <c r="V16" s="29" t="s">
        <v>47</v>
      </c>
      <c r="W16" s="29" t="s">
        <v>48</v>
      </c>
      <c r="X16" s="30">
        <f>X11-X14</f>
        <v>160.33000000000001</v>
      </c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</row>
    <row r="17" spans="1:45" x14ac:dyDescent="0.3">
      <c r="A17" s="7">
        <f t="shared" si="2"/>
        <v>15</v>
      </c>
      <c r="B17" s="8">
        <f t="shared" si="9"/>
        <v>46121</v>
      </c>
      <c r="C17" s="9" t="str" cm="1">
        <f t="array" ref="C17">_xlfn.XLOOKUP(E17,Masterdata!$B$31:$B$44,Masterdata!$A$31:$A$44,_xlfn.SWITCH(WEEKDAY($D17, 2), 1, "mandag", 2, "tirsdag", 3, "onsdag", 4, "torsdag", 5, "fredag", 6, "lørdag", 7, "søndag"),0)</f>
        <v>torsdag</v>
      </c>
      <c r="D17" s="29">
        <f t="shared" si="0"/>
        <v>5</v>
      </c>
      <c r="E17" s="70">
        <f t="shared" si="3"/>
        <v>46121</v>
      </c>
      <c r="F17" s="10" t="s">
        <v>23</v>
      </c>
      <c r="G17" s="12">
        <f>IF(OR(AND(F17="N",NOT(OR(C17="mandag",C17="tirsdag",C17="onsdag",C17="torsdag",C17="fredag"))),F17="F"),0,
        IF(OR(
            AND(Masterdata!$B$4&lt;&gt;DATE(1900,1,0), Masterdata!$B$4&lt;$E17),
            AND(Masterdata!$B$3&lt;&gt;DATE(1900,1,0), Masterdata!$B$3&gt;$E17)
        ),
        0, $X$7/(5-H17)))</f>
        <v>0.30833333333333335</v>
      </c>
      <c r="H17" s="86">
        <f>SUMPRODUCT(COUNTIFS(Marts!$A$9:$A$39,$A17,Marts!$D$9:$D$39,"&lt;7",Marts!$F$9:$F$39,"F")+COUNTIFS($A$9:$A$38,$A17,$D$9:$D$38,"&lt;7",$F$9:$F$38,"F")+COUNTIFS(Maj!$A$9:$A$39,$A17,Maj!$D$9:$D$39,"&lt;7",Maj!$F$9:$F$39,"F"))</f>
        <v>0</v>
      </c>
      <c r="I17" s="11">
        <v>0</v>
      </c>
      <c r="J17" s="11">
        <v>0</v>
      </c>
      <c r="K17" s="11">
        <v>0</v>
      </c>
      <c r="L17" s="26" t="str">
        <f t="shared" ref="L17:L38" si="12">IF($F17="F","00:00",
IF($F17="N",TEXT($G17,"[tt]:mm"),
IF($I17&lt;&gt;0,TEXT($I17,"[tt]:mm"),
IF($K17-$J17&gt;=0,
TEXT($K17-$J17,"[tt]:mm"),
"-"&amp;TEXT(ABS($K17-$J17),"[tt]:mm")))))</f>
        <v>07:24</v>
      </c>
      <c r="M17" s="26" t="str">
        <f>IF(OR(F17="N",F17="F"),"0:00",
IF(
OR(
AND(Masterdata!$B$4&lt;&gt;DATE(1900,1,0),Masterdata!$B$4&lt;$E17),
AND(Masterdata!$B$3&lt;&gt;DATE(1900,1,0),Masterdata!$B$3&gt;$E17)
),"0:00",
IF(
$I17&gt;TIME(0,0,0),
IF(
NOT(OR($C17="mandag",$C17="tirsdag",$C17="onsdag",$C17="torsdag",$C17="fredag")),
TEXT($I17,"[tt]:mm"),
IF($I17-$G17&gt;=0,TEXT($I17-$G17,"[tt]:mm"),"-"&amp;TEXT(ABS($I17-$G17),"[tt]:mm"))
),
IF(
NOT(OR($C17="mandag",$C17="tirsdag",$C17="onsdag",$C17="torsdag",$C17="fredag")),
IF($K17-$J17&gt;=0,TEXT($K17-$J17,"[tt]:mm"),"-"&amp;TEXT(ABS($K17-$J17),"[tt]:mm")),
IF(
$K17-$J17-$G17&gt;=0,
TEXT($K17-$J17-$G17,"[tt]:mm"),
"-"&amp;TEXT(ABS($K17-$J17-$G17),"[tt]:mm")
)
)
)
))</f>
        <v>0:00</v>
      </c>
      <c r="N17" s="71" t="str">
        <f t="shared" si="4"/>
        <v>0</v>
      </c>
      <c r="O17" s="25" t="str">
        <f t="shared" si="5"/>
        <v>0:</v>
      </c>
      <c r="P17" s="52" t="str">
        <f t="shared" si="6"/>
        <v>0</v>
      </c>
      <c r="Q17" s="53">
        <f t="shared" si="10"/>
        <v>0</v>
      </c>
      <c r="R17" s="30">
        <f t="shared" si="11"/>
        <v>0</v>
      </c>
      <c r="S17" s="98"/>
      <c r="T17" s="98"/>
      <c r="U17" s="29" t="s">
        <v>49</v>
      </c>
      <c r="V17" s="29" t="s">
        <v>50</v>
      </c>
      <c r="W17" s="29" t="s">
        <v>51</v>
      </c>
      <c r="X17" s="30" t="e">
        <f>SUM(#REF!)</f>
        <v>#REF!</v>
      </c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</row>
    <row r="18" spans="1:45" x14ac:dyDescent="0.3">
      <c r="A18" s="7">
        <f t="shared" si="2"/>
        <v>15</v>
      </c>
      <c r="B18" s="8">
        <f t="shared" si="9"/>
        <v>46122</v>
      </c>
      <c r="C18" s="9" t="str" cm="1">
        <f t="array" ref="C18">_xlfn.XLOOKUP(E18,Masterdata!$B$31:$B$44,Masterdata!$A$31:$A$44,_xlfn.SWITCH(WEEKDAY($D18, 2), 1, "mandag", 2, "tirsdag", 3, "onsdag", 4, "torsdag", 5, "fredag", 6, "lørdag", 7, "søndag"),0)</f>
        <v>fredag</v>
      </c>
      <c r="D18" s="29">
        <f t="shared" si="0"/>
        <v>6</v>
      </c>
      <c r="E18" s="70">
        <f t="shared" si="3"/>
        <v>46122</v>
      </c>
      <c r="F18" s="10" t="s">
        <v>23</v>
      </c>
      <c r="G18" s="12">
        <f>IF(OR(AND(F18="N",NOT(OR(C18="mandag",C18="tirsdag",C18="onsdag",C18="torsdag",C18="fredag"))),F18="F"),0,
        IF(OR(
            AND(Masterdata!$B$4&lt;&gt;DATE(1900,1,0), Masterdata!$B$4&lt;$E18),
            AND(Masterdata!$B$3&lt;&gt;DATE(1900,1,0), Masterdata!$B$3&gt;$E18)
        ),
        0, $X$7/(5-H18)))</f>
        <v>0.30833333333333335</v>
      </c>
      <c r="H18" s="86">
        <f>SUMPRODUCT(COUNTIFS(Marts!$A$9:$A$39,$A18,Marts!$D$9:$D$39,"&lt;7",Marts!$F$9:$F$39,"F")+COUNTIFS($A$9:$A$38,$A18,$D$9:$D$38,"&lt;7",$F$9:$F$38,"F")+COUNTIFS(Maj!$A$9:$A$39,$A18,Maj!$D$9:$D$39,"&lt;7",Maj!$F$9:$F$39,"F"))</f>
        <v>0</v>
      </c>
      <c r="I18" s="11">
        <v>0</v>
      </c>
      <c r="J18" s="11">
        <v>0</v>
      </c>
      <c r="K18" s="11">
        <v>0</v>
      </c>
      <c r="L18" s="26" t="str">
        <f t="shared" si="12"/>
        <v>07:24</v>
      </c>
      <c r="M18" s="26" t="str">
        <f>IF(OR(F18="N",F18="F"),"0:00",
IF(
OR(
AND(Masterdata!$B$4&lt;&gt;DATE(1900,1,0),Masterdata!$B$4&lt;$E18),
AND(Masterdata!$B$3&lt;&gt;DATE(1900,1,0),Masterdata!$B$3&gt;$E18)
),"0:00",
IF(
$I18&gt;TIME(0,0,0),
IF(
NOT(OR($C18="mandag",$C18="tirsdag",$C18="onsdag",$C18="torsdag",$C18="fredag")),
TEXT($I18,"[tt]:mm"),
IF($I18-$G18&gt;=0,TEXT($I18-$G18,"[tt]:mm"),"-"&amp;TEXT(ABS($I18-$G18),"[tt]:mm"))
),
IF(
NOT(OR($C18="mandag",$C18="tirsdag",$C18="onsdag",$C18="torsdag",$C18="fredag")),
IF($K18-$J18&gt;=0,TEXT($K18-$J18,"[tt]:mm"),"-"&amp;TEXT(ABS($K18-$J18),"[tt]:mm")),
IF(
$K18-$J18-$G18&gt;=0,
TEXT($K18-$J18-$G18,"[tt]:mm"),
"-"&amp;TEXT(ABS($K18-$J18-$G18),"[tt]:mm")
)
)
)
))</f>
        <v>0:00</v>
      </c>
      <c r="N18" s="71" t="str">
        <f t="shared" si="4"/>
        <v>0</v>
      </c>
      <c r="O18" s="25" t="str">
        <f t="shared" si="5"/>
        <v>0:</v>
      </c>
      <c r="P18" s="52" t="str">
        <f t="shared" si="6"/>
        <v>0</v>
      </c>
      <c r="Q18" s="53">
        <f t="shared" si="10"/>
        <v>0</v>
      </c>
      <c r="R18" s="30">
        <f t="shared" si="11"/>
        <v>0</v>
      </c>
      <c r="S18" s="98"/>
      <c r="T18" s="98"/>
      <c r="U18" s="29" t="s">
        <v>25</v>
      </c>
      <c r="V18" s="29" t="s">
        <v>52</v>
      </c>
      <c r="W18" s="29" t="s">
        <v>53</v>
      </c>
      <c r="X18" s="30" t="e">
        <f>X16-X17</f>
        <v>#REF!</v>
      </c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</row>
    <row r="19" spans="1:45" x14ac:dyDescent="0.3">
      <c r="A19" s="7">
        <f t="shared" si="2"/>
        <v>15</v>
      </c>
      <c r="B19" s="8">
        <f t="shared" si="9"/>
        <v>46123</v>
      </c>
      <c r="C19" s="9" t="str" cm="1">
        <f t="array" ref="C19">_xlfn.XLOOKUP(E19,Masterdata!$B$31:$B$44,Masterdata!$A$31:$A$44,_xlfn.SWITCH(WEEKDAY($D19, 2), 1, "mandag", 2, "tirsdag", 3, "onsdag", 4, "torsdag", 5, "fredag", 6, "lørdag", 7, "søndag"),0)</f>
        <v>lørdag</v>
      </c>
      <c r="D19" s="29">
        <f t="shared" si="0"/>
        <v>7</v>
      </c>
      <c r="E19" s="70">
        <f t="shared" si="3"/>
        <v>46123</v>
      </c>
      <c r="F19" s="10" t="s">
        <v>23</v>
      </c>
      <c r="G19" s="12">
        <f>IF(OR(AND(F19="N",NOT(OR(C19="mandag",C19="tirsdag",C19="onsdag",C19="torsdag",C19="fredag"))),F19="F"),0,
        IF(OR(
            AND(Masterdata!$B$4&lt;&gt;DATE(1900,1,0), Masterdata!$B$4&lt;$E19),
            AND(Masterdata!$B$3&lt;&gt;DATE(1900,1,0), Masterdata!$B$3&gt;$E19)
        ),
        0, $X$7/(5-H19)))</f>
        <v>0</v>
      </c>
      <c r="H19" s="86">
        <f>SUMPRODUCT(COUNTIFS(Marts!$A$9:$A$39,$A19,Marts!$D$9:$D$39,"&lt;7",Marts!$F$9:$F$39,"F")+COUNTIFS($A$9:$A$38,$A19,$D$9:$D$38,"&lt;7",$F$9:$F$38,"F")+COUNTIFS(Maj!$A$9:$A$39,$A19,Maj!$D$9:$D$39,"&lt;7",Maj!$F$9:$F$39,"F"))</f>
        <v>0</v>
      </c>
      <c r="I19" s="11">
        <v>0</v>
      </c>
      <c r="J19" s="11">
        <v>0</v>
      </c>
      <c r="K19" s="11">
        <v>0</v>
      </c>
      <c r="L19" s="26" t="str">
        <f t="shared" si="12"/>
        <v>00:00</v>
      </c>
      <c r="M19" s="26" t="str">
        <f>IF(OR(F19="N",F19="F"),"0:00",
IF(
OR(
AND(Masterdata!$B$4&lt;&gt;DATE(1900,1,0),Masterdata!$B$4&lt;$E19),
AND(Masterdata!$B$3&lt;&gt;DATE(1900,1,0),Masterdata!$B$3&gt;$E19)
),"0:00",
IF(
$I19&gt;TIME(0,0,0),
IF(
NOT(OR($C19="mandag",$C19="tirsdag",$C19="onsdag",$C19="torsdag",$C19="fredag")),
TEXT($I19,"[tt]:mm"),
IF($I19-$G19&gt;=0,TEXT($I19-$G19,"[tt]:mm"),"-"&amp;TEXT(ABS($I19-$G19),"[tt]:mm"))
),
IF(
NOT(OR($C19="mandag",$C19="tirsdag",$C19="onsdag",$C19="torsdag",$C19="fredag")),
IF($K19-$J19&gt;=0,TEXT($K19-$J19,"[tt]:mm"),"-"&amp;TEXT(ABS($K19-$J19),"[tt]:mm")),
IF(
$K19-$J19-$G19&gt;=0,
TEXT($K19-$J19-$G19,"[tt]:mm"),
"-"&amp;TEXT(ABS($K19-$J19-$G19),"[tt]:mm")
)
)
)
))</f>
        <v>0:00</v>
      </c>
      <c r="N19" s="71" t="str">
        <f t="shared" si="4"/>
        <v>0</v>
      </c>
      <c r="O19" s="25" t="str">
        <f t="shared" si="5"/>
        <v>0:</v>
      </c>
      <c r="P19" s="52" t="str">
        <f t="shared" si="6"/>
        <v>0</v>
      </c>
      <c r="Q19" s="53">
        <f t="shared" si="10"/>
        <v>0</v>
      </c>
      <c r="R19" s="30">
        <f t="shared" si="11"/>
        <v>0</v>
      </c>
      <c r="S19" s="98"/>
      <c r="T19" s="98"/>
      <c r="U19" s="29"/>
      <c r="V19" s="29"/>
      <c r="W19" s="70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</row>
    <row r="20" spans="1:45" x14ac:dyDescent="0.3">
      <c r="A20" s="7">
        <f t="shared" si="2"/>
        <v>15</v>
      </c>
      <c r="B20" s="8">
        <f t="shared" si="9"/>
        <v>46124</v>
      </c>
      <c r="C20" s="9" t="str" cm="1">
        <f t="array" ref="C20">_xlfn.XLOOKUP(E20,Masterdata!$B$31:$B$44,Masterdata!$A$31:$A$44,_xlfn.SWITCH(WEEKDAY($D20, 2), 1, "mandag", 2, "tirsdag", 3, "onsdag", 4, "torsdag", 5, "fredag", 6, "lørdag", 7, "søndag"),0)</f>
        <v>søndag</v>
      </c>
      <c r="D20" s="29">
        <f t="shared" si="0"/>
        <v>8</v>
      </c>
      <c r="E20" s="70">
        <f t="shared" si="3"/>
        <v>46124</v>
      </c>
      <c r="F20" s="10" t="s">
        <v>23</v>
      </c>
      <c r="G20" s="12">
        <f>IF(OR(AND(F20="N",NOT(OR(C20="mandag",C20="tirsdag",C20="onsdag",C20="torsdag",C20="fredag"))),F20="F"),0,
        IF(OR(
            AND(Masterdata!$B$4&lt;&gt;DATE(1900,1,0), Masterdata!$B$4&lt;$E20),
            AND(Masterdata!$B$3&lt;&gt;DATE(1900,1,0), Masterdata!$B$3&gt;$E20)
        ),
        0, $X$7/(5-H20)))</f>
        <v>0</v>
      </c>
      <c r="H20" s="86">
        <f>SUMPRODUCT(COUNTIFS(Marts!$A$9:$A$39,$A20,Marts!$D$9:$D$39,"&lt;7",Marts!$F$9:$F$39,"F")+COUNTIFS($A$9:$A$38,$A20,$D$9:$D$38,"&lt;7",$F$9:$F$38,"F")+COUNTIFS(Maj!$A$9:$A$39,$A20,Maj!$D$9:$D$39,"&lt;7",Maj!$F$9:$F$39,"F"))</f>
        <v>0</v>
      </c>
      <c r="I20" s="11">
        <v>0</v>
      </c>
      <c r="J20" s="11">
        <v>0</v>
      </c>
      <c r="K20" s="11">
        <v>0</v>
      </c>
      <c r="L20" s="26" t="str">
        <f t="shared" si="12"/>
        <v>00:00</v>
      </c>
      <c r="M20" s="26" t="str">
        <f>IF(OR(F20="N",F20="F"),"0:00",
IF(
OR(
AND(Masterdata!$B$4&lt;&gt;DATE(1900,1,0),Masterdata!$B$4&lt;$E20),
AND(Masterdata!$B$3&lt;&gt;DATE(1900,1,0),Masterdata!$B$3&gt;$E20)
),"0:00",
IF(
$I20&gt;TIME(0,0,0),
IF(
NOT(OR($C20="mandag",$C20="tirsdag",$C20="onsdag",$C20="torsdag",$C20="fredag")),
TEXT($I20,"[tt]:mm"),
IF($I20-$G20&gt;=0,TEXT($I20-$G20,"[tt]:mm"),"-"&amp;TEXT(ABS($I20-$G20),"[tt]:mm"))
),
IF(
NOT(OR($C20="mandag",$C20="tirsdag",$C20="onsdag",$C20="torsdag",$C20="fredag")),
IF($K20-$J20&gt;=0,TEXT($K20-$J20,"[tt]:mm"),"-"&amp;TEXT(ABS($K20-$J20),"[tt]:mm")),
IF(
$K20-$J20-$G20&gt;=0,
TEXT($K20-$J20-$G20,"[tt]:mm"),
"-"&amp;TEXT(ABS($K20-$J20-$G20),"[tt]:mm")
)
)
)
))</f>
        <v>0:00</v>
      </c>
      <c r="N20" s="71" t="str">
        <f t="shared" si="4"/>
        <v>0</v>
      </c>
      <c r="O20" s="25" t="str">
        <f t="shared" si="5"/>
        <v>0:</v>
      </c>
      <c r="P20" s="52" t="str">
        <f t="shared" si="6"/>
        <v>0</v>
      </c>
      <c r="Q20" s="53">
        <f t="shared" si="10"/>
        <v>0</v>
      </c>
      <c r="R20" s="30">
        <f t="shared" si="11"/>
        <v>0</v>
      </c>
      <c r="S20" s="98"/>
      <c r="T20" s="98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</row>
    <row r="21" spans="1:45" x14ac:dyDescent="0.3">
      <c r="A21" s="7">
        <f t="shared" si="2"/>
        <v>16</v>
      </c>
      <c r="B21" s="8">
        <f t="shared" si="9"/>
        <v>46125</v>
      </c>
      <c r="C21" s="9" t="str" cm="1">
        <f t="array" ref="C21">_xlfn.XLOOKUP(E21,Masterdata!$B$31:$B$44,Masterdata!$A$31:$A$44,_xlfn.SWITCH(WEEKDAY($D21, 2), 1, "mandag", 2, "tirsdag", 3, "onsdag", 4, "torsdag", 5, "fredag", 6, "lørdag", 7, "søndag"),0)</f>
        <v>mandag</v>
      </c>
      <c r="D21" s="29">
        <f t="shared" si="0"/>
        <v>2</v>
      </c>
      <c r="E21" s="70">
        <f t="shared" si="3"/>
        <v>46125</v>
      </c>
      <c r="F21" s="10" t="s">
        <v>23</v>
      </c>
      <c r="G21" s="12">
        <f>IF(OR(AND(F21="N",NOT(OR(C21="mandag",C21="tirsdag",C21="onsdag",C21="torsdag",C21="fredag"))),F21="F"),0,
        IF(OR(
            AND(Masterdata!$B$4&lt;&gt;DATE(1900,1,0), Masterdata!$B$4&lt;$E21),
            AND(Masterdata!$B$3&lt;&gt;DATE(1900,1,0), Masterdata!$B$3&gt;$E21)
        ),
        0, $X$7/(5-H21)))</f>
        <v>0.30833333333333335</v>
      </c>
      <c r="H21" s="86">
        <f>SUMPRODUCT(COUNTIFS(Marts!$A$9:$A$39,$A21,Marts!$D$9:$D$39,"&lt;7",Marts!$F$9:$F$39,"F")+COUNTIFS($A$9:$A$38,$A21,$D$9:$D$38,"&lt;7",$F$9:$F$38,"F")+COUNTIFS(Maj!$A$9:$A$39,$A21,Maj!$D$9:$D$39,"&lt;7",Maj!$F$9:$F$39,"F"))</f>
        <v>0</v>
      </c>
      <c r="I21" s="11">
        <v>0</v>
      </c>
      <c r="J21" s="11">
        <v>0</v>
      </c>
      <c r="K21" s="11">
        <v>0</v>
      </c>
      <c r="L21" s="26" t="str">
        <f t="shared" si="12"/>
        <v>07:24</v>
      </c>
      <c r="M21" s="26" t="str">
        <f>IF(OR(F21="N",F21="F"),"0:00",
IF(
OR(
AND(Masterdata!$B$4&lt;&gt;DATE(1900,1,0),Masterdata!$B$4&lt;$E21),
AND(Masterdata!$B$3&lt;&gt;DATE(1900,1,0),Masterdata!$B$3&gt;$E21)
),"0:00",
IF(
$I21&gt;TIME(0,0,0),
IF(
NOT(OR($C21="mandag",$C21="tirsdag",$C21="onsdag",$C21="torsdag",$C21="fredag")),
TEXT($I21,"[tt]:mm"),
IF($I21-$G21&gt;=0,TEXT($I21-$G21,"[tt]:mm"),"-"&amp;TEXT(ABS($I21-$G21),"[tt]:mm"))
),
IF(
NOT(OR($C21="mandag",$C21="tirsdag",$C21="onsdag",$C21="torsdag",$C21="fredag")),
IF($K21-$J21&gt;=0,TEXT($K21-$J21,"[tt]:mm"),"-"&amp;TEXT(ABS($K21-$J21),"[tt]:mm")),
IF(
$K21-$J21-$G21&gt;=0,
TEXT($K21-$J21-$G21,"[tt]:mm"),
"-"&amp;TEXT(ABS($K21-$J21-$G21),"[tt]:mm")
)
)
)
))</f>
        <v>0:00</v>
      </c>
      <c r="N21" s="71" t="str">
        <f>LEFT(M21,1)</f>
        <v>0</v>
      </c>
      <c r="O21" s="25" t="str">
        <f t="shared" si="5"/>
        <v>0:</v>
      </c>
      <c r="P21" s="52" t="str">
        <f t="shared" si="6"/>
        <v>0</v>
      </c>
      <c r="Q21" s="53">
        <f t="shared" si="10"/>
        <v>0</v>
      </c>
      <c r="R21" s="30">
        <f>IF(N21="-",O21-Q21,O21+Q21)</f>
        <v>0</v>
      </c>
      <c r="S21" s="98"/>
      <c r="T21" s="98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</row>
    <row r="22" spans="1:45" x14ac:dyDescent="0.3">
      <c r="A22" s="7">
        <f t="shared" si="2"/>
        <v>16</v>
      </c>
      <c r="B22" s="8">
        <f t="shared" si="9"/>
        <v>46126</v>
      </c>
      <c r="C22" s="9" t="str" cm="1">
        <f t="array" ref="C22">_xlfn.XLOOKUP(E22,Masterdata!$B$31:$B$44,Masterdata!$A$31:$A$44,_xlfn.SWITCH(WEEKDAY($D22, 2), 1, "mandag", 2, "tirsdag", 3, "onsdag", 4, "torsdag", 5, "fredag", 6, "lørdag", 7, "søndag"),0)</f>
        <v>tirsdag</v>
      </c>
      <c r="D22" s="29">
        <f t="shared" si="0"/>
        <v>3</v>
      </c>
      <c r="E22" s="70">
        <f t="shared" si="3"/>
        <v>46126</v>
      </c>
      <c r="F22" s="10" t="s">
        <v>23</v>
      </c>
      <c r="G22" s="12">
        <f>IF(OR(AND(F22="N",NOT(OR(C22="mandag",C22="tirsdag",C22="onsdag",C22="torsdag",C22="fredag"))),F22="F"),0,
        IF(OR(
            AND(Masterdata!$B$4&lt;&gt;DATE(1900,1,0), Masterdata!$B$4&lt;$E22),
            AND(Masterdata!$B$3&lt;&gt;DATE(1900,1,0), Masterdata!$B$3&gt;$E22)
        ),
        0, $X$7/(5-H22)))</f>
        <v>0.30833333333333335</v>
      </c>
      <c r="H22" s="86">
        <f>SUMPRODUCT(COUNTIFS(Marts!$A$9:$A$39,$A22,Marts!$D$9:$D$39,"&lt;7",Marts!$F$9:$F$39,"F")+COUNTIFS($A$9:$A$38,$A22,$D$9:$D$38,"&lt;7",$F$9:$F$38,"F")+COUNTIFS(Maj!$A$9:$A$39,$A22,Maj!$D$9:$D$39,"&lt;7",Maj!$F$9:$F$39,"F"))</f>
        <v>0</v>
      </c>
      <c r="I22" s="11">
        <v>0</v>
      </c>
      <c r="J22" s="11">
        <v>0</v>
      </c>
      <c r="K22" s="11">
        <v>0</v>
      </c>
      <c r="L22" s="26" t="str">
        <f t="shared" si="12"/>
        <v>07:24</v>
      </c>
      <c r="M22" s="26" t="str">
        <f>IF(OR(F22="N",F22="F"),"0:00",
IF(
OR(
AND(Masterdata!$B$4&lt;&gt;DATE(1900,1,0),Masterdata!$B$4&lt;$E22),
AND(Masterdata!$B$3&lt;&gt;DATE(1900,1,0),Masterdata!$B$3&gt;$E22)
),"0:00",
IF(
$I22&gt;TIME(0,0,0),
IF(
NOT(OR($C22="mandag",$C22="tirsdag",$C22="onsdag",$C22="torsdag",$C22="fredag")),
TEXT($I22,"[tt]:mm"),
IF($I22-$G22&gt;=0,TEXT($I22-$G22,"[tt]:mm"),"-"&amp;TEXT(ABS($I22-$G22),"[tt]:mm"))
),
IF(
NOT(OR($C22="mandag",$C22="tirsdag",$C22="onsdag",$C22="torsdag",$C22="fredag")),
IF($K22-$J22&gt;=0,TEXT($K22-$J22,"[tt]:mm"),"-"&amp;TEXT(ABS($K22-$J22),"[tt]:mm")),
IF(
$K22-$J22-$G22&gt;=0,
TEXT($K22-$J22-$G22,"[tt]:mm"),
"-"&amp;TEXT(ABS($K22-$J22-$G22),"[tt]:mm")
)
)
)
))</f>
        <v>0:00</v>
      </c>
      <c r="N22" s="71" t="str">
        <f t="shared" ref="N22:N38" si="13">LEFT(M22,1)</f>
        <v>0</v>
      </c>
      <c r="O22" s="25" t="str">
        <f t="shared" si="5"/>
        <v>0:</v>
      </c>
      <c r="P22" s="52" t="str">
        <f t="shared" si="6"/>
        <v>0</v>
      </c>
      <c r="Q22" s="53">
        <f t="shared" si="10"/>
        <v>0</v>
      </c>
      <c r="R22" s="30">
        <f t="shared" ref="R22:R38" si="14">IF(N22="-",O22-Q22,O22+Q22)</f>
        <v>0</v>
      </c>
      <c r="S22" s="98"/>
      <c r="T22" s="98"/>
      <c r="U22" s="29"/>
      <c r="V22" s="29"/>
      <c r="W22" s="29" t="s">
        <v>124</v>
      </c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</row>
    <row r="23" spans="1:45" x14ac:dyDescent="0.3">
      <c r="A23" s="7">
        <f t="shared" si="2"/>
        <v>16</v>
      </c>
      <c r="B23" s="8">
        <f t="shared" si="9"/>
        <v>46127</v>
      </c>
      <c r="C23" s="9" t="str" cm="1">
        <f t="array" ref="C23">_xlfn.XLOOKUP(E23,Masterdata!$B$31:$B$44,Masterdata!$A$31:$A$44,_xlfn.SWITCH(WEEKDAY($D23, 2), 1, "mandag", 2, "tirsdag", 3, "onsdag", 4, "torsdag", 5, "fredag", 6, "lørdag", 7, "søndag"),0)</f>
        <v>onsdag</v>
      </c>
      <c r="D23" s="29">
        <f t="shared" si="0"/>
        <v>4</v>
      </c>
      <c r="E23" s="70">
        <f t="shared" si="3"/>
        <v>46127</v>
      </c>
      <c r="F23" s="10" t="s">
        <v>23</v>
      </c>
      <c r="G23" s="12">
        <f>IF(OR(AND(F23="N",NOT(OR(C23="mandag",C23="tirsdag",C23="onsdag",C23="torsdag",C23="fredag"))),F23="F"),0,
        IF(OR(
            AND(Masterdata!$B$4&lt;&gt;DATE(1900,1,0), Masterdata!$B$4&lt;$E23),
            AND(Masterdata!$B$3&lt;&gt;DATE(1900,1,0), Masterdata!$B$3&gt;$E23)
        ),
        0, $X$7/(5-H23)))</f>
        <v>0.30833333333333335</v>
      </c>
      <c r="H23" s="86">
        <f>SUMPRODUCT(COUNTIFS(Marts!$A$9:$A$39,$A23,Marts!$D$9:$D$39,"&lt;7",Marts!$F$9:$F$39,"F")+COUNTIFS($A$9:$A$38,$A23,$D$9:$D$38,"&lt;7",$F$9:$F$38,"F")+COUNTIFS(Maj!$A$9:$A$39,$A23,Maj!$D$9:$D$39,"&lt;7",Maj!$F$9:$F$39,"F"))</f>
        <v>0</v>
      </c>
      <c r="I23" s="11">
        <v>0</v>
      </c>
      <c r="J23" s="11">
        <v>0</v>
      </c>
      <c r="K23" s="11">
        <v>0</v>
      </c>
      <c r="L23" s="26" t="str">
        <f t="shared" si="12"/>
        <v>07:24</v>
      </c>
      <c r="M23" s="26" t="str">
        <f>IF(OR(F23="N",F23="F"),"0:00",
IF(
OR(
AND(Masterdata!$B$4&lt;&gt;DATE(1900,1,0),Masterdata!$B$4&lt;$E23),
AND(Masterdata!$B$3&lt;&gt;DATE(1900,1,0),Masterdata!$B$3&gt;$E23)
),"0:00",
IF(
$I23&gt;TIME(0,0,0),
IF(
NOT(OR($C23="mandag",$C23="tirsdag",$C23="onsdag",$C23="torsdag",$C23="fredag")),
TEXT($I23,"[tt]:mm"),
IF($I23-$G23&gt;=0,TEXT($I23-$G23,"[tt]:mm"),"-"&amp;TEXT(ABS($I23-$G23),"[tt]:mm"))
),
IF(
NOT(OR($C23="mandag",$C23="tirsdag",$C23="onsdag",$C23="torsdag",$C23="fredag")),
IF($K23-$J23&gt;=0,TEXT($K23-$J23,"[tt]:mm"),"-"&amp;TEXT(ABS($K23-$J23),"[tt]:mm")),
IF(
$K23-$J23-$G23&gt;=0,
TEXT($K23-$J23-$G23,"[tt]:mm"),
"-"&amp;TEXT(ABS($K23-$J23-$G23),"[tt]:mm")
)
)
)
))</f>
        <v>0:00</v>
      </c>
      <c r="N23" s="71" t="str">
        <f t="shared" si="13"/>
        <v>0</v>
      </c>
      <c r="O23" s="25" t="str">
        <f t="shared" si="5"/>
        <v>0:</v>
      </c>
      <c r="P23" s="52" t="str">
        <f t="shared" si="6"/>
        <v>0</v>
      </c>
      <c r="Q23" s="53">
        <f t="shared" si="10"/>
        <v>0</v>
      </c>
      <c r="R23" s="30">
        <f t="shared" si="14"/>
        <v>0</v>
      </c>
      <c r="S23" s="98"/>
      <c r="T23" s="98"/>
      <c r="U23" s="29"/>
      <c r="V23" s="29"/>
      <c r="W23" s="29" t="s">
        <v>125</v>
      </c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</row>
    <row r="24" spans="1:45" x14ac:dyDescent="0.3">
      <c r="A24" s="7">
        <f t="shared" si="2"/>
        <v>16</v>
      </c>
      <c r="B24" s="8">
        <f t="shared" si="9"/>
        <v>46128</v>
      </c>
      <c r="C24" s="9" t="str" cm="1">
        <f t="array" ref="C24">_xlfn.XLOOKUP(E24,Masterdata!$B$31:$B$44,Masterdata!$A$31:$A$44,_xlfn.SWITCH(WEEKDAY($D24, 2), 1, "mandag", 2, "tirsdag", 3, "onsdag", 4, "torsdag", 5, "fredag", 6, "lørdag", 7, "søndag"),0)</f>
        <v>torsdag</v>
      </c>
      <c r="D24" s="29">
        <f t="shared" si="0"/>
        <v>5</v>
      </c>
      <c r="E24" s="70">
        <f t="shared" si="3"/>
        <v>46128</v>
      </c>
      <c r="F24" s="10" t="s">
        <v>23</v>
      </c>
      <c r="G24" s="12">
        <f>IF(OR(AND(F24="N",NOT(OR(C24="mandag",C24="tirsdag",C24="onsdag",C24="torsdag",C24="fredag"))),F24="F"),0,
        IF(OR(
            AND(Masterdata!$B$4&lt;&gt;DATE(1900,1,0), Masterdata!$B$4&lt;$E24),
            AND(Masterdata!$B$3&lt;&gt;DATE(1900,1,0), Masterdata!$B$3&gt;$E24)
        ),
        0, $X$7/(5-H24)))</f>
        <v>0.30833333333333335</v>
      </c>
      <c r="H24" s="86">
        <f>SUMPRODUCT(COUNTIFS(Marts!$A$9:$A$39,$A24,Marts!$D$9:$D$39,"&lt;7",Marts!$F$9:$F$39,"F")+COUNTIFS($A$9:$A$38,$A24,$D$9:$D$38,"&lt;7",$F$9:$F$38,"F")+COUNTIFS(Maj!$A$9:$A$39,$A24,Maj!$D$9:$D$39,"&lt;7",Maj!$F$9:$F$39,"F"))</f>
        <v>0</v>
      </c>
      <c r="I24" s="11">
        <v>0</v>
      </c>
      <c r="J24" s="11">
        <v>0</v>
      </c>
      <c r="K24" s="11">
        <v>0</v>
      </c>
      <c r="L24" s="26" t="str">
        <f t="shared" si="12"/>
        <v>07:24</v>
      </c>
      <c r="M24" s="26" t="str">
        <f>IF(OR(F24="N",F24="F"),"0:00",
IF(
OR(
AND(Masterdata!$B$4&lt;&gt;DATE(1900,1,0),Masterdata!$B$4&lt;$E24),
AND(Masterdata!$B$3&lt;&gt;DATE(1900,1,0),Masterdata!$B$3&gt;$E24)
),"0:00",
IF(
$I24&gt;TIME(0,0,0),
IF(
NOT(OR($C24="mandag",$C24="tirsdag",$C24="onsdag",$C24="torsdag",$C24="fredag")),
TEXT($I24,"[tt]:mm"),
IF($I24-$G24&gt;=0,TEXT($I24-$G24,"[tt]:mm"),"-"&amp;TEXT(ABS($I24-$G24),"[tt]:mm"))
),
IF(
NOT(OR($C24="mandag",$C24="tirsdag",$C24="onsdag",$C24="torsdag",$C24="fredag")),
IF($K24-$J24&gt;=0,TEXT($K24-$J24,"[tt]:mm"),"-"&amp;TEXT(ABS($K24-$J24),"[tt]:mm")),
IF(
$K24-$J24-$G24&gt;=0,
TEXT($K24-$J24-$G24,"[tt]:mm"),
"-"&amp;TEXT(ABS($K24-$J24-$G24),"[tt]:mm")
)
)
)
))</f>
        <v>0:00</v>
      </c>
      <c r="N24" s="71" t="str">
        <f t="shared" si="13"/>
        <v>0</v>
      </c>
      <c r="O24" s="25" t="str">
        <f t="shared" si="5"/>
        <v>0:</v>
      </c>
      <c r="P24" s="52" t="str">
        <f t="shared" si="6"/>
        <v>0</v>
      </c>
      <c r="Q24" s="53">
        <f t="shared" si="10"/>
        <v>0</v>
      </c>
      <c r="R24" s="30">
        <f t="shared" si="14"/>
        <v>0</v>
      </c>
      <c r="S24" s="98"/>
      <c r="T24" s="98"/>
      <c r="U24" s="29"/>
      <c r="V24" s="29"/>
      <c r="W24" s="29" t="s">
        <v>126</v>
      </c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</row>
    <row r="25" spans="1:45" x14ac:dyDescent="0.3">
      <c r="A25" s="7">
        <f t="shared" si="2"/>
        <v>16</v>
      </c>
      <c r="B25" s="8">
        <f t="shared" si="9"/>
        <v>46129</v>
      </c>
      <c r="C25" s="9" t="str" cm="1">
        <f t="array" ref="C25">_xlfn.XLOOKUP(E25,Masterdata!$B$31:$B$44,Masterdata!$A$31:$A$44,_xlfn.SWITCH(WEEKDAY($D25, 2), 1, "mandag", 2, "tirsdag", 3, "onsdag", 4, "torsdag", 5, "fredag", 6, "lørdag", 7, "søndag"),0)</f>
        <v>fredag</v>
      </c>
      <c r="D25" s="29">
        <f t="shared" si="0"/>
        <v>6</v>
      </c>
      <c r="E25" s="70">
        <f t="shared" si="3"/>
        <v>46129</v>
      </c>
      <c r="F25" s="10" t="s">
        <v>23</v>
      </c>
      <c r="G25" s="12">
        <f>IF(OR(AND(F25="N",NOT(OR(C25="mandag",C25="tirsdag",C25="onsdag",C25="torsdag",C25="fredag"))),F25="F"),0,
        IF(OR(
            AND(Masterdata!$B$4&lt;&gt;DATE(1900,1,0), Masterdata!$B$4&lt;$E25),
            AND(Masterdata!$B$3&lt;&gt;DATE(1900,1,0), Masterdata!$B$3&gt;$E25)
        ),
        0, $X$7/(5-H25)))</f>
        <v>0.30833333333333335</v>
      </c>
      <c r="H25" s="86">
        <f>SUMPRODUCT(COUNTIFS(Marts!$A$9:$A$39,$A25,Marts!$D$9:$D$39,"&lt;7",Marts!$F$9:$F$39,"F")+COUNTIFS($A$9:$A$38,$A25,$D$9:$D$38,"&lt;7",$F$9:$F$38,"F")+COUNTIFS(Maj!$A$9:$A$39,$A25,Maj!$D$9:$D$39,"&lt;7",Maj!$F$9:$F$39,"F"))</f>
        <v>0</v>
      </c>
      <c r="I25" s="11">
        <v>0</v>
      </c>
      <c r="J25" s="11">
        <v>0</v>
      </c>
      <c r="K25" s="11">
        <v>0</v>
      </c>
      <c r="L25" s="26" t="str">
        <f t="shared" si="12"/>
        <v>07:24</v>
      </c>
      <c r="M25" s="26" t="str">
        <f>IF(OR(F25="N",F25="F"),"0:00",
IF(
OR(
AND(Masterdata!$B$4&lt;&gt;DATE(1900,1,0),Masterdata!$B$4&lt;$E25),
AND(Masterdata!$B$3&lt;&gt;DATE(1900,1,0),Masterdata!$B$3&gt;$E25)
),"0:00",
IF(
$I25&gt;TIME(0,0,0),
IF(
NOT(OR($C25="mandag",$C25="tirsdag",$C25="onsdag",$C25="torsdag",$C25="fredag")),
TEXT($I25,"[tt]:mm"),
IF($I25-$G25&gt;=0,TEXT($I25-$G25,"[tt]:mm"),"-"&amp;TEXT(ABS($I25-$G25),"[tt]:mm"))
),
IF(
NOT(OR($C25="mandag",$C25="tirsdag",$C25="onsdag",$C25="torsdag",$C25="fredag")),
IF($K25-$J25&gt;=0,TEXT($K25-$J25,"[tt]:mm"),"-"&amp;TEXT(ABS($K25-$J25),"[tt]:mm")),
IF(
$K25-$J25-$G25&gt;=0,
TEXT($K25-$J25-$G25,"[tt]:mm"),
"-"&amp;TEXT(ABS($K25-$J25-$G25),"[tt]:mm")
)
)
)
))</f>
        <v>0:00</v>
      </c>
      <c r="N25" s="71" t="str">
        <f t="shared" si="13"/>
        <v>0</v>
      </c>
      <c r="O25" s="25" t="str">
        <f t="shared" si="5"/>
        <v>0:</v>
      </c>
      <c r="P25" s="52" t="str">
        <f t="shared" si="6"/>
        <v>0</v>
      </c>
      <c r="Q25" s="53">
        <f t="shared" si="10"/>
        <v>0</v>
      </c>
      <c r="R25" s="30">
        <f t="shared" si="14"/>
        <v>0</v>
      </c>
      <c r="S25" s="98"/>
      <c r="T25" s="98"/>
      <c r="U25" s="29"/>
      <c r="V25" s="29"/>
      <c r="W25" s="29" t="s">
        <v>127</v>
      </c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</row>
    <row r="26" spans="1:45" x14ac:dyDescent="0.3">
      <c r="A26" s="7">
        <f t="shared" si="2"/>
        <v>16</v>
      </c>
      <c r="B26" s="8">
        <f t="shared" si="9"/>
        <v>46130</v>
      </c>
      <c r="C26" s="9" t="str" cm="1">
        <f t="array" ref="C26">_xlfn.XLOOKUP(E26,Masterdata!$B$31:$B$44,Masterdata!$A$31:$A$44,_xlfn.SWITCH(WEEKDAY($D26, 2), 1, "mandag", 2, "tirsdag", 3, "onsdag", 4, "torsdag", 5, "fredag", 6, "lørdag", 7, "søndag"),0)</f>
        <v>lørdag</v>
      </c>
      <c r="D26" s="29">
        <f t="shared" si="0"/>
        <v>7</v>
      </c>
      <c r="E26" s="70">
        <f t="shared" si="3"/>
        <v>46130</v>
      </c>
      <c r="F26" s="10" t="s">
        <v>23</v>
      </c>
      <c r="G26" s="12">
        <f>IF(OR(AND(F26="N",NOT(OR(C26="mandag",C26="tirsdag",C26="onsdag",C26="torsdag",C26="fredag"))),F26="F"),0,
        IF(OR(
            AND(Masterdata!$B$4&lt;&gt;DATE(1900,1,0), Masterdata!$B$4&lt;$E26),
            AND(Masterdata!$B$3&lt;&gt;DATE(1900,1,0), Masterdata!$B$3&gt;$E26)
        ),
        0, $X$7/(5-H26)))</f>
        <v>0</v>
      </c>
      <c r="H26" s="86">
        <f>SUMPRODUCT(COUNTIFS(Marts!$A$9:$A$39,$A26,Marts!$D$9:$D$39,"&lt;7",Marts!$F$9:$F$39,"F")+COUNTIFS($A$9:$A$38,$A26,$D$9:$D$38,"&lt;7",$F$9:$F$38,"F")+COUNTIFS(Maj!$A$9:$A$39,$A26,Maj!$D$9:$D$39,"&lt;7",Maj!$F$9:$F$39,"F"))</f>
        <v>0</v>
      </c>
      <c r="I26" s="11">
        <v>0</v>
      </c>
      <c r="J26" s="11">
        <v>0</v>
      </c>
      <c r="K26" s="11">
        <v>0</v>
      </c>
      <c r="L26" s="26" t="str">
        <f t="shared" si="12"/>
        <v>00:00</v>
      </c>
      <c r="M26" s="26" t="str">
        <f>IF(OR(F26="N",F26="F"),"0:00",
IF(
OR(
AND(Masterdata!$B$4&lt;&gt;DATE(1900,1,0),Masterdata!$B$4&lt;$E26),
AND(Masterdata!$B$3&lt;&gt;DATE(1900,1,0),Masterdata!$B$3&gt;$E26)
),"0:00",
IF(
$I26&gt;TIME(0,0,0),
IF(
NOT(OR($C26="mandag",$C26="tirsdag",$C26="onsdag",$C26="torsdag",$C26="fredag")),
TEXT($I26,"[tt]:mm"),
IF($I26-$G26&gt;=0,TEXT($I26-$G26,"[tt]:mm"),"-"&amp;TEXT(ABS($I26-$G26),"[tt]:mm"))
),
IF(
NOT(OR($C26="mandag",$C26="tirsdag",$C26="onsdag",$C26="torsdag",$C26="fredag")),
IF($K26-$J26&gt;=0,TEXT($K26-$J26,"[tt]:mm"),"-"&amp;TEXT(ABS($K26-$J26),"[tt]:mm")),
IF(
$K26-$J26-$G26&gt;=0,
TEXT($K26-$J26-$G26,"[tt]:mm"),
"-"&amp;TEXT(ABS($K26-$J26-$G26),"[tt]:mm")
)
)
)
))</f>
        <v>0:00</v>
      </c>
      <c r="N26" s="71" t="str">
        <f t="shared" si="13"/>
        <v>0</v>
      </c>
      <c r="O26" s="25" t="str">
        <f t="shared" si="5"/>
        <v>0:</v>
      </c>
      <c r="P26" s="52" t="str">
        <f t="shared" si="6"/>
        <v>0</v>
      </c>
      <c r="Q26" s="53">
        <f t="shared" si="10"/>
        <v>0</v>
      </c>
      <c r="R26" s="30">
        <f t="shared" si="14"/>
        <v>0</v>
      </c>
      <c r="S26" s="98"/>
      <c r="T26" s="98"/>
      <c r="U26" s="29"/>
      <c r="V26" s="29"/>
      <c r="W26" s="29" t="s">
        <v>128</v>
      </c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</row>
    <row r="27" spans="1:45" x14ac:dyDescent="0.3">
      <c r="A27" s="7">
        <f t="shared" si="2"/>
        <v>16</v>
      </c>
      <c r="B27" s="8">
        <f t="shared" si="9"/>
        <v>46131</v>
      </c>
      <c r="C27" s="9" t="str" cm="1">
        <f t="array" ref="C27">_xlfn.XLOOKUP(E27,Masterdata!$B$31:$B$44,Masterdata!$A$31:$A$44,_xlfn.SWITCH(WEEKDAY($D27, 2), 1, "mandag", 2, "tirsdag", 3, "onsdag", 4, "torsdag", 5, "fredag", 6, "lørdag", 7, "søndag"),0)</f>
        <v>søndag</v>
      </c>
      <c r="D27" s="29">
        <f t="shared" si="0"/>
        <v>8</v>
      </c>
      <c r="E27" s="70">
        <f t="shared" si="3"/>
        <v>46131</v>
      </c>
      <c r="F27" s="10" t="s">
        <v>23</v>
      </c>
      <c r="G27" s="12">
        <f>IF(OR(AND(F27="N",NOT(OR(C27="mandag",C27="tirsdag",C27="onsdag",C27="torsdag",C27="fredag"))),F27="F"),0,
        IF(OR(
            AND(Masterdata!$B$4&lt;&gt;DATE(1900,1,0), Masterdata!$B$4&lt;$E27),
            AND(Masterdata!$B$3&lt;&gt;DATE(1900,1,0), Masterdata!$B$3&gt;$E27)
        ),
        0, $X$7/(5-H27)))</f>
        <v>0</v>
      </c>
      <c r="H27" s="86">
        <f>SUMPRODUCT(COUNTIFS(Marts!$A$9:$A$39,$A27,Marts!$D$9:$D$39,"&lt;7",Marts!$F$9:$F$39,"F")+COUNTIFS($A$9:$A$38,$A27,$D$9:$D$38,"&lt;7",$F$9:$F$38,"F")+COUNTIFS(Maj!$A$9:$A$39,$A27,Maj!$D$9:$D$39,"&lt;7",Maj!$F$9:$F$39,"F"))</f>
        <v>0</v>
      </c>
      <c r="I27" s="11">
        <v>0</v>
      </c>
      <c r="J27" s="11">
        <v>0</v>
      </c>
      <c r="K27" s="11">
        <v>0</v>
      </c>
      <c r="L27" s="26" t="str">
        <f t="shared" si="12"/>
        <v>00:00</v>
      </c>
      <c r="M27" s="26" t="str">
        <f>IF(OR(F27="N",F27="F"),"0:00",
IF(
OR(
AND(Masterdata!$B$4&lt;&gt;DATE(1900,1,0),Masterdata!$B$4&lt;$E27),
AND(Masterdata!$B$3&lt;&gt;DATE(1900,1,0),Masterdata!$B$3&gt;$E27)
),"0:00",
IF(
$I27&gt;TIME(0,0,0),
IF(
NOT(OR($C27="mandag",$C27="tirsdag",$C27="onsdag",$C27="torsdag",$C27="fredag")),
TEXT($I27,"[tt]:mm"),
IF($I27-$G27&gt;=0,TEXT($I27-$G27,"[tt]:mm"),"-"&amp;TEXT(ABS($I27-$G27),"[tt]:mm"))
),
IF(
NOT(OR($C27="mandag",$C27="tirsdag",$C27="onsdag",$C27="torsdag",$C27="fredag")),
IF($K27-$J27&gt;=0,TEXT($K27-$J27,"[tt]:mm"),"-"&amp;TEXT(ABS($K27-$J27),"[tt]:mm")),
IF(
$K27-$J27-$G27&gt;=0,
TEXT($K27-$J27-$G27,"[tt]:mm"),
"-"&amp;TEXT(ABS($K27-$J27-$G27),"[tt]:mm")
)
)
)
))</f>
        <v>0:00</v>
      </c>
      <c r="N27" s="71" t="str">
        <f t="shared" si="13"/>
        <v>0</v>
      </c>
      <c r="O27" s="25" t="str">
        <f t="shared" si="5"/>
        <v>0:</v>
      </c>
      <c r="P27" s="52" t="str">
        <f t="shared" si="6"/>
        <v>0</v>
      </c>
      <c r="Q27" s="53">
        <f t="shared" si="10"/>
        <v>0</v>
      </c>
      <c r="R27" s="30">
        <f t="shared" si="14"/>
        <v>0</v>
      </c>
      <c r="S27" s="98"/>
      <c r="T27" s="98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</row>
    <row r="28" spans="1:45" x14ac:dyDescent="0.3">
      <c r="A28" s="7">
        <f t="shared" si="2"/>
        <v>17</v>
      </c>
      <c r="B28" s="8">
        <f t="shared" si="9"/>
        <v>46132</v>
      </c>
      <c r="C28" s="9" t="str" cm="1">
        <f t="array" ref="C28">_xlfn.XLOOKUP(E28,Masterdata!$B$31:$B$44,Masterdata!$A$31:$A$44,_xlfn.SWITCH(WEEKDAY($D28, 2), 1, "mandag", 2, "tirsdag", 3, "onsdag", 4, "torsdag", 5, "fredag", 6, "lørdag", 7, "søndag"),0)</f>
        <v>mandag</v>
      </c>
      <c r="D28" s="29">
        <f t="shared" si="0"/>
        <v>2</v>
      </c>
      <c r="E28" s="70">
        <f t="shared" si="3"/>
        <v>46132</v>
      </c>
      <c r="F28" s="10" t="s">
        <v>23</v>
      </c>
      <c r="G28" s="12">
        <f>IF(OR(AND(F28="N",NOT(OR(C28="mandag",C28="tirsdag",C28="onsdag",C28="torsdag",C28="fredag"))),F28="F"),0,
        IF(OR(
            AND(Masterdata!$B$4&lt;&gt;DATE(1900,1,0), Masterdata!$B$4&lt;$E28),
            AND(Masterdata!$B$3&lt;&gt;DATE(1900,1,0), Masterdata!$B$3&gt;$E28)
        ),
        0, $X$7/(5-H28)))</f>
        <v>0.30833333333333335</v>
      </c>
      <c r="H28" s="86">
        <f>SUMPRODUCT(COUNTIFS(Marts!$A$9:$A$39,$A28,Marts!$D$9:$D$39,"&lt;7",Marts!$F$9:$F$39,"F")+COUNTIFS($A$9:$A$38,$A28,$D$9:$D$38,"&lt;7",$F$9:$F$38,"F")+COUNTIFS(Maj!$A$9:$A$39,$A28,Maj!$D$9:$D$39,"&lt;7",Maj!$F$9:$F$39,"F"))</f>
        <v>0</v>
      </c>
      <c r="I28" s="11">
        <v>0</v>
      </c>
      <c r="J28" s="11">
        <v>0</v>
      </c>
      <c r="K28" s="11">
        <v>0</v>
      </c>
      <c r="L28" s="26" t="str">
        <f t="shared" si="12"/>
        <v>07:24</v>
      </c>
      <c r="M28" s="26" t="str">
        <f>IF(OR(F28="N",F28="F"),"0:00",
IF(
OR(
AND(Masterdata!$B$4&lt;&gt;DATE(1900,1,0),Masterdata!$B$4&lt;$E28),
AND(Masterdata!$B$3&lt;&gt;DATE(1900,1,0),Masterdata!$B$3&gt;$E28)
),"0:00",
IF(
$I28&gt;TIME(0,0,0),
IF(
NOT(OR($C28="mandag",$C28="tirsdag",$C28="onsdag",$C28="torsdag",$C28="fredag")),
TEXT($I28,"[tt]:mm"),
IF($I28-$G28&gt;=0,TEXT($I28-$G28,"[tt]:mm"),"-"&amp;TEXT(ABS($I28-$G28),"[tt]:mm"))
),
IF(
NOT(OR($C28="mandag",$C28="tirsdag",$C28="onsdag",$C28="torsdag",$C28="fredag")),
IF($K28-$J28&gt;=0,TEXT($K28-$J28,"[tt]:mm"),"-"&amp;TEXT(ABS($K28-$J28),"[tt]:mm")),
IF(
$K28-$J28-$G28&gt;=0,
TEXT($K28-$J28-$G28,"[tt]:mm"),
"-"&amp;TEXT(ABS($K28-$J28-$G28),"[tt]:mm")
)
)
)
))</f>
        <v>0:00</v>
      </c>
      <c r="N28" s="71" t="str">
        <f t="shared" si="13"/>
        <v>0</v>
      </c>
      <c r="O28" s="25" t="str">
        <f t="shared" si="5"/>
        <v>0:</v>
      </c>
      <c r="P28" s="52" t="str">
        <f t="shared" si="6"/>
        <v>0</v>
      </c>
      <c r="Q28" s="53">
        <f t="shared" si="10"/>
        <v>0</v>
      </c>
      <c r="R28" s="30">
        <f t="shared" si="14"/>
        <v>0</v>
      </c>
      <c r="S28" s="98"/>
      <c r="T28" s="98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</row>
    <row r="29" spans="1:45" x14ac:dyDescent="0.3">
      <c r="A29" s="7">
        <f t="shared" si="2"/>
        <v>17</v>
      </c>
      <c r="B29" s="8">
        <f t="shared" si="9"/>
        <v>46133</v>
      </c>
      <c r="C29" s="9" t="str" cm="1">
        <f t="array" ref="C29">_xlfn.XLOOKUP(E29,Masterdata!$B$31:$B$44,Masterdata!$A$31:$A$44,_xlfn.SWITCH(WEEKDAY($D29, 2), 1, "mandag", 2, "tirsdag", 3, "onsdag", 4, "torsdag", 5, "fredag", 6, "lørdag", 7, "søndag"),0)</f>
        <v>tirsdag</v>
      </c>
      <c r="D29" s="29">
        <f t="shared" si="0"/>
        <v>3</v>
      </c>
      <c r="E29" s="70">
        <f t="shared" si="3"/>
        <v>46133</v>
      </c>
      <c r="F29" s="10" t="s">
        <v>23</v>
      </c>
      <c r="G29" s="12">
        <f>IF(OR(AND(F29="N",NOT(OR(C29="mandag",C29="tirsdag",C29="onsdag",C29="torsdag",C29="fredag"))),F29="F"),0,
        IF(OR(
            AND(Masterdata!$B$4&lt;&gt;DATE(1900,1,0), Masterdata!$B$4&lt;$E29),
            AND(Masterdata!$B$3&lt;&gt;DATE(1900,1,0), Masterdata!$B$3&gt;$E29)
        ),
        0, $X$7/(5-H29)))</f>
        <v>0.30833333333333335</v>
      </c>
      <c r="H29" s="86">
        <f>SUMPRODUCT(COUNTIFS(Marts!$A$9:$A$39,$A29,Marts!$D$9:$D$39,"&lt;7",Marts!$F$9:$F$39,"F")+COUNTIFS($A$9:$A$38,$A29,$D$9:$D$38,"&lt;7",$F$9:$F$38,"F")+COUNTIFS(Maj!$A$9:$A$39,$A29,Maj!$D$9:$D$39,"&lt;7",Maj!$F$9:$F$39,"F"))</f>
        <v>0</v>
      </c>
      <c r="I29" s="11">
        <v>0</v>
      </c>
      <c r="J29" s="11">
        <v>0</v>
      </c>
      <c r="K29" s="11">
        <v>0</v>
      </c>
      <c r="L29" s="26" t="str">
        <f t="shared" si="12"/>
        <v>07:24</v>
      </c>
      <c r="M29" s="26" t="str">
        <f>IF(OR(F29="N",F29="F"),"0:00",
IF(
OR(
AND(Masterdata!$B$4&lt;&gt;DATE(1900,1,0),Masterdata!$B$4&lt;$E29),
AND(Masterdata!$B$3&lt;&gt;DATE(1900,1,0),Masterdata!$B$3&gt;$E29)
),"0:00",
IF(
$I29&gt;TIME(0,0,0),
IF(
NOT(OR($C29="mandag",$C29="tirsdag",$C29="onsdag",$C29="torsdag",$C29="fredag")),
TEXT($I29,"[tt]:mm"),
IF($I29-$G29&gt;=0,TEXT($I29-$G29,"[tt]:mm"),"-"&amp;TEXT(ABS($I29-$G29),"[tt]:mm"))
),
IF(
NOT(OR($C29="mandag",$C29="tirsdag",$C29="onsdag",$C29="torsdag",$C29="fredag")),
IF($K29-$J29&gt;=0,TEXT($K29-$J29,"[tt]:mm"),"-"&amp;TEXT(ABS($K29-$J29),"[tt]:mm")),
IF(
$K29-$J29-$G29&gt;=0,
TEXT($K29-$J29-$G29,"[tt]:mm"),
"-"&amp;TEXT(ABS($K29-$J29-$G29),"[tt]:mm")
)
)
)
))</f>
        <v>0:00</v>
      </c>
      <c r="N29" s="71" t="str">
        <f t="shared" si="13"/>
        <v>0</v>
      </c>
      <c r="O29" s="25" t="str">
        <f t="shared" si="5"/>
        <v>0:</v>
      </c>
      <c r="P29" s="52" t="str">
        <f t="shared" si="6"/>
        <v>0</v>
      </c>
      <c r="Q29" s="53">
        <f t="shared" si="10"/>
        <v>0</v>
      </c>
      <c r="R29" s="30">
        <f t="shared" si="14"/>
        <v>0</v>
      </c>
      <c r="S29" s="98"/>
      <c r="T29" s="98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</row>
    <row r="30" spans="1:45" x14ac:dyDescent="0.3">
      <c r="A30" s="7">
        <f t="shared" si="2"/>
        <v>17</v>
      </c>
      <c r="B30" s="8">
        <f t="shared" si="9"/>
        <v>46134</v>
      </c>
      <c r="C30" s="9" t="str" cm="1">
        <f t="array" ref="C30">_xlfn.XLOOKUP(E30,Masterdata!$B$31:$B$44,Masterdata!$A$31:$A$44,_xlfn.SWITCH(WEEKDAY($D30, 2), 1, "mandag", 2, "tirsdag", 3, "onsdag", 4, "torsdag", 5, "fredag", 6, "lørdag", 7, "søndag"),0)</f>
        <v>onsdag</v>
      </c>
      <c r="D30" s="29">
        <f t="shared" si="0"/>
        <v>4</v>
      </c>
      <c r="E30" s="70">
        <f t="shared" si="3"/>
        <v>46134</v>
      </c>
      <c r="F30" s="10" t="s">
        <v>23</v>
      </c>
      <c r="G30" s="12">
        <f>IF(OR(AND(F30="N",NOT(OR(C30="mandag",C30="tirsdag",C30="onsdag",C30="torsdag",C30="fredag"))),F30="F"),0,
        IF(OR(
            AND(Masterdata!$B$4&lt;&gt;DATE(1900,1,0), Masterdata!$B$4&lt;$E30),
            AND(Masterdata!$B$3&lt;&gt;DATE(1900,1,0), Masterdata!$B$3&gt;$E30)
        ),
        0, $X$7/(5-H30)))</f>
        <v>0.30833333333333335</v>
      </c>
      <c r="H30" s="86">
        <f>SUMPRODUCT(COUNTIFS(Marts!$A$9:$A$39,$A30,Marts!$D$9:$D$39,"&lt;7",Marts!$F$9:$F$39,"F")+COUNTIFS($A$9:$A$38,$A30,$D$9:$D$38,"&lt;7",$F$9:$F$38,"F")+COUNTIFS(Maj!$A$9:$A$39,$A30,Maj!$D$9:$D$39,"&lt;7",Maj!$F$9:$F$39,"F"))</f>
        <v>0</v>
      </c>
      <c r="I30" s="11">
        <v>0</v>
      </c>
      <c r="J30" s="11">
        <v>0</v>
      </c>
      <c r="K30" s="11">
        <v>0</v>
      </c>
      <c r="L30" s="26" t="str">
        <f t="shared" si="12"/>
        <v>07:24</v>
      </c>
      <c r="M30" s="26" t="str">
        <f>IF(OR(F30="N",F30="F"),"0:00",
IF(
OR(
AND(Masterdata!$B$4&lt;&gt;DATE(1900,1,0),Masterdata!$B$4&lt;$E30),
AND(Masterdata!$B$3&lt;&gt;DATE(1900,1,0),Masterdata!$B$3&gt;$E30)
),"0:00",
IF(
$I30&gt;TIME(0,0,0),
IF(
NOT(OR($C30="mandag",$C30="tirsdag",$C30="onsdag",$C30="torsdag",$C30="fredag")),
TEXT($I30,"[tt]:mm"),
IF($I30-$G30&gt;=0,TEXT($I30-$G30,"[tt]:mm"),"-"&amp;TEXT(ABS($I30-$G30),"[tt]:mm"))
),
IF(
NOT(OR($C30="mandag",$C30="tirsdag",$C30="onsdag",$C30="torsdag",$C30="fredag")),
IF($K30-$J30&gt;=0,TEXT($K30-$J30,"[tt]:mm"),"-"&amp;TEXT(ABS($K30-$J30),"[tt]:mm")),
IF(
$K30-$J30-$G30&gt;=0,
TEXT($K30-$J30-$G30,"[tt]:mm"),
"-"&amp;TEXT(ABS($K30-$J30-$G30),"[tt]:mm")
)
)
)
))</f>
        <v>0:00</v>
      </c>
      <c r="N30" s="71" t="str">
        <f t="shared" si="13"/>
        <v>0</v>
      </c>
      <c r="O30" s="25" t="str">
        <f t="shared" si="5"/>
        <v>0:</v>
      </c>
      <c r="P30" s="52" t="str">
        <f t="shared" si="6"/>
        <v>0</v>
      </c>
      <c r="Q30" s="53">
        <f t="shared" si="10"/>
        <v>0</v>
      </c>
      <c r="R30" s="30">
        <f t="shared" si="14"/>
        <v>0</v>
      </c>
      <c r="S30" s="98"/>
      <c r="T30" s="98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</row>
    <row r="31" spans="1:45" x14ac:dyDescent="0.3">
      <c r="A31" s="7">
        <f t="shared" si="2"/>
        <v>17</v>
      </c>
      <c r="B31" s="8">
        <f t="shared" si="9"/>
        <v>46135</v>
      </c>
      <c r="C31" s="9" t="str" cm="1">
        <f t="array" ref="C31">_xlfn.XLOOKUP(E31,Masterdata!$B$31:$B$44,Masterdata!$A$31:$A$44,_xlfn.SWITCH(WEEKDAY($D31, 2), 1, "mandag", 2, "tirsdag", 3, "onsdag", 4, "torsdag", 5, "fredag", 6, "lørdag", 7, "søndag"),0)</f>
        <v>torsdag</v>
      </c>
      <c r="D31" s="29">
        <f t="shared" si="0"/>
        <v>5</v>
      </c>
      <c r="E31" s="70">
        <f t="shared" si="3"/>
        <v>46135</v>
      </c>
      <c r="F31" s="10" t="s">
        <v>23</v>
      </c>
      <c r="G31" s="12">
        <f>IF(OR(AND(F31="N",NOT(OR(C31="mandag",C31="tirsdag",C31="onsdag",C31="torsdag",C31="fredag"))),F31="F"),0,
        IF(OR(
            AND(Masterdata!$B$4&lt;&gt;DATE(1900,1,0), Masterdata!$B$4&lt;$E31),
            AND(Masterdata!$B$3&lt;&gt;DATE(1900,1,0), Masterdata!$B$3&gt;$E31)
        ),
        0, $X$7/(5-H31)))</f>
        <v>0.30833333333333335</v>
      </c>
      <c r="H31" s="86">
        <f>SUMPRODUCT(COUNTIFS(Marts!$A$9:$A$39,$A31,Marts!$D$9:$D$39,"&lt;7",Marts!$F$9:$F$39,"F")+COUNTIFS($A$9:$A$38,$A31,$D$9:$D$38,"&lt;7",$F$9:$F$38,"F")+COUNTIFS(Maj!$A$9:$A$39,$A31,Maj!$D$9:$D$39,"&lt;7",Maj!$F$9:$F$39,"F"))</f>
        <v>0</v>
      </c>
      <c r="I31" s="11">
        <v>0</v>
      </c>
      <c r="J31" s="11">
        <v>0</v>
      </c>
      <c r="K31" s="11">
        <v>0</v>
      </c>
      <c r="L31" s="26" t="str">
        <f t="shared" si="12"/>
        <v>07:24</v>
      </c>
      <c r="M31" s="26" t="str">
        <f>IF(OR(F31="N",F31="F"),"0:00",
IF(
OR(
AND(Masterdata!$B$4&lt;&gt;DATE(1900,1,0),Masterdata!$B$4&lt;$E31),
AND(Masterdata!$B$3&lt;&gt;DATE(1900,1,0),Masterdata!$B$3&gt;$E31)
),"0:00",
IF(
$I31&gt;TIME(0,0,0),
IF(
NOT(OR($C31="mandag",$C31="tirsdag",$C31="onsdag",$C31="torsdag",$C31="fredag")),
TEXT($I31,"[tt]:mm"),
IF($I31-$G31&gt;=0,TEXT($I31-$G31,"[tt]:mm"),"-"&amp;TEXT(ABS($I31-$G31),"[tt]:mm"))
),
IF(
NOT(OR($C31="mandag",$C31="tirsdag",$C31="onsdag",$C31="torsdag",$C31="fredag")),
IF($K31-$J31&gt;=0,TEXT($K31-$J31,"[tt]:mm"),"-"&amp;TEXT(ABS($K31-$J31),"[tt]:mm")),
IF(
$K31-$J31-$G31&gt;=0,
TEXT($K31-$J31-$G31,"[tt]:mm"),
"-"&amp;TEXT(ABS($K31-$J31-$G31),"[tt]:mm")
)
)
)
))</f>
        <v>0:00</v>
      </c>
      <c r="N31" s="71" t="str">
        <f t="shared" si="13"/>
        <v>0</v>
      </c>
      <c r="O31" s="25" t="str">
        <f t="shared" si="5"/>
        <v>0:</v>
      </c>
      <c r="P31" s="52" t="str">
        <f t="shared" si="6"/>
        <v>0</v>
      </c>
      <c r="Q31" s="53">
        <f t="shared" si="10"/>
        <v>0</v>
      </c>
      <c r="R31" s="30">
        <f t="shared" si="14"/>
        <v>0</v>
      </c>
      <c r="S31" s="98"/>
      <c r="T31" s="98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</row>
    <row r="32" spans="1:45" x14ac:dyDescent="0.3">
      <c r="A32" s="7">
        <f t="shared" si="2"/>
        <v>17</v>
      </c>
      <c r="B32" s="8">
        <f t="shared" si="9"/>
        <v>46136</v>
      </c>
      <c r="C32" s="9" t="str" cm="1">
        <f t="array" ref="C32">_xlfn.XLOOKUP(E32,Masterdata!$B$31:$B$44,Masterdata!$A$31:$A$44,_xlfn.SWITCH(WEEKDAY($D32, 2), 1, "mandag", 2, "tirsdag", 3, "onsdag", 4, "torsdag", 5, "fredag", 6, "lørdag", 7, "søndag"),0)</f>
        <v>fredag</v>
      </c>
      <c r="D32" s="29">
        <f t="shared" si="0"/>
        <v>6</v>
      </c>
      <c r="E32" s="70">
        <f t="shared" si="3"/>
        <v>46136</v>
      </c>
      <c r="F32" s="10" t="s">
        <v>23</v>
      </c>
      <c r="G32" s="12">
        <f>IF(OR(AND(F32="N",NOT(OR(C32="mandag",C32="tirsdag",C32="onsdag",C32="torsdag",C32="fredag"))),F32="F"),0,
        IF(OR(
            AND(Masterdata!$B$4&lt;&gt;DATE(1900,1,0), Masterdata!$B$4&lt;$E32),
            AND(Masterdata!$B$3&lt;&gt;DATE(1900,1,0), Masterdata!$B$3&gt;$E32)
        ),
        0, $X$7/(5-H32)))</f>
        <v>0.30833333333333335</v>
      </c>
      <c r="H32" s="86">
        <f>SUMPRODUCT(COUNTIFS(Marts!$A$9:$A$39,$A32,Marts!$D$9:$D$39,"&lt;7",Marts!$F$9:$F$39,"F")+COUNTIFS($A$9:$A$38,$A32,$D$9:$D$38,"&lt;7",$F$9:$F$38,"F")+COUNTIFS(Maj!$A$9:$A$39,$A32,Maj!$D$9:$D$39,"&lt;7",Maj!$F$9:$F$39,"F"))</f>
        <v>0</v>
      </c>
      <c r="I32" s="11">
        <v>0</v>
      </c>
      <c r="J32" s="11">
        <v>0</v>
      </c>
      <c r="K32" s="11">
        <v>0</v>
      </c>
      <c r="L32" s="26" t="str">
        <f t="shared" si="12"/>
        <v>07:24</v>
      </c>
      <c r="M32" s="26" t="str">
        <f>IF(OR(F32="N",F32="F"),"0:00",
IF(
OR(
AND(Masterdata!$B$4&lt;&gt;DATE(1900,1,0),Masterdata!$B$4&lt;$E32),
AND(Masterdata!$B$3&lt;&gt;DATE(1900,1,0),Masterdata!$B$3&gt;$E32)
),"0:00",
IF(
$I32&gt;TIME(0,0,0),
IF(
NOT(OR($C32="mandag",$C32="tirsdag",$C32="onsdag",$C32="torsdag",$C32="fredag")),
TEXT($I32,"[tt]:mm"),
IF($I32-$G32&gt;=0,TEXT($I32-$G32,"[tt]:mm"),"-"&amp;TEXT(ABS($I32-$G32),"[tt]:mm"))
),
IF(
NOT(OR($C32="mandag",$C32="tirsdag",$C32="onsdag",$C32="torsdag",$C32="fredag")),
IF($K32-$J32&gt;=0,TEXT($K32-$J32,"[tt]:mm"),"-"&amp;TEXT(ABS($K32-$J32),"[tt]:mm")),
IF(
$K32-$J32-$G32&gt;=0,
TEXT($K32-$J32-$G32,"[tt]:mm"),
"-"&amp;TEXT(ABS($K32-$J32-$G32),"[tt]:mm")
)
)
)
))</f>
        <v>0:00</v>
      </c>
      <c r="N32" s="71" t="str">
        <f t="shared" si="13"/>
        <v>0</v>
      </c>
      <c r="O32" s="25" t="str">
        <f t="shared" si="5"/>
        <v>0:</v>
      </c>
      <c r="P32" s="52" t="str">
        <f t="shared" si="6"/>
        <v>0</v>
      </c>
      <c r="Q32" s="53">
        <f t="shared" si="10"/>
        <v>0</v>
      </c>
      <c r="R32" s="30">
        <f t="shared" si="14"/>
        <v>0</v>
      </c>
      <c r="S32" s="98"/>
      <c r="T32" s="98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</row>
    <row r="33" spans="1:45" x14ac:dyDescent="0.3">
      <c r="A33" s="7">
        <f t="shared" si="2"/>
        <v>17</v>
      </c>
      <c r="B33" s="8">
        <f t="shared" si="9"/>
        <v>46137</v>
      </c>
      <c r="C33" s="9" t="str" cm="1">
        <f t="array" ref="C33">_xlfn.XLOOKUP(E33,Masterdata!$B$31:$B$44,Masterdata!$A$31:$A$44,_xlfn.SWITCH(WEEKDAY($D33, 2), 1, "mandag", 2, "tirsdag", 3, "onsdag", 4, "torsdag", 5, "fredag", 6, "lørdag", 7, "søndag"),0)</f>
        <v>lørdag</v>
      </c>
      <c r="D33" s="29">
        <f t="shared" si="0"/>
        <v>7</v>
      </c>
      <c r="E33" s="70">
        <f t="shared" si="3"/>
        <v>46137</v>
      </c>
      <c r="F33" s="10" t="s">
        <v>23</v>
      </c>
      <c r="G33" s="12">
        <f>IF(OR(AND(F33="N",NOT(OR(C33="mandag",C33="tirsdag",C33="onsdag",C33="torsdag",C33="fredag"))),F33="F"),0,
        IF(OR(
            AND(Masterdata!$B$4&lt;&gt;DATE(1900,1,0), Masterdata!$B$4&lt;$E33),
            AND(Masterdata!$B$3&lt;&gt;DATE(1900,1,0), Masterdata!$B$3&gt;$E33)
        ),
        0, $X$7/(5-H33)))</f>
        <v>0</v>
      </c>
      <c r="H33" s="86">
        <f>SUMPRODUCT(COUNTIFS(Marts!$A$9:$A$39,$A33,Marts!$D$9:$D$39,"&lt;7",Marts!$F$9:$F$39,"F")+COUNTIFS($A$9:$A$38,$A33,$D$9:$D$38,"&lt;7",$F$9:$F$38,"F")+COUNTIFS(Maj!$A$9:$A$39,$A33,Maj!$D$9:$D$39,"&lt;7",Maj!$F$9:$F$39,"F"))</f>
        <v>0</v>
      </c>
      <c r="I33" s="11">
        <v>0</v>
      </c>
      <c r="J33" s="11">
        <v>0</v>
      </c>
      <c r="K33" s="11">
        <v>0</v>
      </c>
      <c r="L33" s="26" t="str">
        <f t="shared" si="12"/>
        <v>00:00</v>
      </c>
      <c r="M33" s="26" t="str">
        <f>IF(OR(F33="N",F33="F"),"0:00",
IF(
OR(
AND(Masterdata!$B$4&lt;&gt;DATE(1900,1,0),Masterdata!$B$4&lt;$E33),
AND(Masterdata!$B$3&lt;&gt;DATE(1900,1,0),Masterdata!$B$3&gt;$E33)
),"0:00",
IF(
$I33&gt;TIME(0,0,0),
IF(
NOT(OR($C33="mandag",$C33="tirsdag",$C33="onsdag",$C33="torsdag",$C33="fredag")),
TEXT($I33,"[tt]:mm"),
IF($I33-$G33&gt;=0,TEXT($I33-$G33,"[tt]:mm"),"-"&amp;TEXT(ABS($I33-$G33),"[tt]:mm"))
),
IF(
NOT(OR($C33="mandag",$C33="tirsdag",$C33="onsdag",$C33="torsdag",$C33="fredag")),
IF($K33-$J33&gt;=0,TEXT($K33-$J33,"[tt]:mm"),"-"&amp;TEXT(ABS($K33-$J33),"[tt]:mm")),
IF(
$K33-$J33-$G33&gt;=0,
TEXT($K33-$J33-$G33,"[tt]:mm"),
"-"&amp;TEXT(ABS($K33-$J33-$G33),"[tt]:mm")
)
)
)
))</f>
        <v>0:00</v>
      </c>
      <c r="N33" s="71" t="str">
        <f t="shared" si="13"/>
        <v>0</v>
      </c>
      <c r="O33" s="25" t="str">
        <f t="shared" si="5"/>
        <v>0:</v>
      </c>
      <c r="P33" s="52" t="str">
        <f t="shared" si="6"/>
        <v>0</v>
      </c>
      <c r="Q33" s="53">
        <f t="shared" si="10"/>
        <v>0</v>
      </c>
      <c r="R33" s="30">
        <f t="shared" si="14"/>
        <v>0</v>
      </c>
      <c r="S33" s="98"/>
      <c r="T33" s="98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</row>
    <row r="34" spans="1:45" x14ac:dyDescent="0.3">
      <c r="A34" s="7">
        <f t="shared" si="2"/>
        <v>17</v>
      </c>
      <c r="B34" s="8">
        <f t="shared" si="9"/>
        <v>46138</v>
      </c>
      <c r="C34" s="9" t="str" cm="1">
        <f t="array" ref="C34">_xlfn.XLOOKUP(E34,Masterdata!$B$31:$B$44,Masterdata!$A$31:$A$44,_xlfn.SWITCH(WEEKDAY($D34, 2), 1, "mandag", 2, "tirsdag", 3, "onsdag", 4, "torsdag", 5, "fredag", 6, "lørdag", 7, "søndag"),0)</f>
        <v>søndag</v>
      </c>
      <c r="D34" s="29">
        <f t="shared" si="0"/>
        <v>8</v>
      </c>
      <c r="E34" s="70">
        <f t="shared" si="3"/>
        <v>46138</v>
      </c>
      <c r="F34" s="10" t="s">
        <v>23</v>
      </c>
      <c r="G34" s="12">
        <f>IF(OR(AND(F34="N",NOT(OR(C34="mandag",C34="tirsdag",C34="onsdag",C34="torsdag",C34="fredag"))),F34="F"),0,
        IF(OR(
            AND(Masterdata!$B$4&lt;&gt;DATE(1900,1,0), Masterdata!$B$4&lt;$E34),
            AND(Masterdata!$B$3&lt;&gt;DATE(1900,1,0), Masterdata!$B$3&gt;$E34)
        ),
        0, $X$7/(5-H34)))</f>
        <v>0</v>
      </c>
      <c r="H34" s="86">
        <f>SUMPRODUCT(COUNTIFS(Marts!$A$9:$A$39,$A34,Marts!$D$9:$D$39,"&lt;7",Marts!$F$9:$F$39,"F")+COUNTIFS($A$9:$A$38,$A34,$D$9:$D$38,"&lt;7",$F$9:$F$38,"F")+COUNTIFS(Maj!$A$9:$A$39,$A34,Maj!$D$9:$D$39,"&lt;7",Maj!$F$9:$F$39,"F"))</f>
        <v>0</v>
      </c>
      <c r="I34" s="11">
        <v>0</v>
      </c>
      <c r="J34" s="11">
        <v>0</v>
      </c>
      <c r="K34" s="11">
        <v>0</v>
      </c>
      <c r="L34" s="26" t="str">
        <f t="shared" si="12"/>
        <v>00:00</v>
      </c>
      <c r="M34" s="26" t="str">
        <f>IF(OR(F34="N",F34="F"),"0:00",
IF(
OR(
AND(Masterdata!$B$4&lt;&gt;DATE(1900,1,0),Masterdata!$B$4&lt;$E34),
AND(Masterdata!$B$3&lt;&gt;DATE(1900,1,0),Masterdata!$B$3&gt;$E34)
),"0:00",
IF(
$I34&gt;TIME(0,0,0),
IF(
NOT(OR($C34="mandag",$C34="tirsdag",$C34="onsdag",$C34="torsdag",$C34="fredag")),
TEXT($I34,"[tt]:mm"),
IF($I34-$G34&gt;=0,TEXT($I34-$G34,"[tt]:mm"),"-"&amp;TEXT(ABS($I34-$G34),"[tt]:mm"))
),
IF(
NOT(OR($C34="mandag",$C34="tirsdag",$C34="onsdag",$C34="torsdag",$C34="fredag")),
IF($K34-$J34&gt;=0,TEXT($K34-$J34,"[tt]:mm"),"-"&amp;TEXT(ABS($K34-$J34),"[tt]:mm")),
IF(
$K34-$J34-$G34&gt;=0,
TEXT($K34-$J34-$G34,"[tt]:mm"),
"-"&amp;TEXT(ABS($K34-$J34-$G34),"[tt]:mm")
)
)
)
))</f>
        <v>0:00</v>
      </c>
      <c r="N34" s="71" t="str">
        <f t="shared" si="13"/>
        <v>0</v>
      </c>
      <c r="O34" s="25" t="str">
        <f t="shared" si="5"/>
        <v>0:</v>
      </c>
      <c r="P34" s="52" t="str">
        <f t="shared" si="6"/>
        <v>0</v>
      </c>
      <c r="Q34" s="53">
        <f t="shared" si="10"/>
        <v>0</v>
      </c>
      <c r="R34" s="30">
        <f t="shared" si="14"/>
        <v>0</v>
      </c>
      <c r="S34" s="98"/>
      <c r="T34" s="98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</row>
    <row r="35" spans="1:45" x14ac:dyDescent="0.3">
      <c r="A35" s="7">
        <f t="shared" si="2"/>
        <v>18</v>
      </c>
      <c r="B35" s="8">
        <f t="shared" si="9"/>
        <v>46139</v>
      </c>
      <c r="C35" s="9" t="str" cm="1">
        <f t="array" ref="C35">_xlfn.XLOOKUP(E35,Masterdata!$B$31:$B$44,Masterdata!$A$31:$A$44,_xlfn.SWITCH(WEEKDAY($D35, 2), 1, "mandag", 2, "tirsdag", 3, "onsdag", 4, "torsdag", 5, "fredag", 6, "lørdag", 7, "søndag"),0)</f>
        <v>mandag</v>
      </c>
      <c r="D35" s="29">
        <f t="shared" si="0"/>
        <v>2</v>
      </c>
      <c r="E35" s="70">
        <f t="shared" si="3"/>
        <v>46139</v>
      </c>
      <c r="F35" s="10" t="s">
        <v>23</v>
      </c>
      <c r="G35" s="12">
        <f>IF(OR(AND(F35="N",NOT(OR(C35="mandag",C35="tirsdag",C35="onsdag",C35="torsdag",C35="fredag"))),F35="F"),0,
        IF(OR(
            AND(Masterdata!$B$4&lt;&gt;DATE(1900,1,0), Masterdata!$B$4&lt;$E35),
            AND(Masterdata!$B$3&lt;&gt;DATE(1900,1,0), Masterdata!$B$3&gt;$E35)
        ),
        0, $X$7/(5-H35)))</f>
        <v>0.30833333333333335</v>
      </c>
      <c r="H35" s="86">
        <f>SUMPRODUCT(COUNTIFS(Marts!$A$9:$A$39,$A35,Marts!$D$9:$D$39,"&lt;7",Marts!$F$9:$F$39,"F")+COUNTIFS($A$9:$A$38,$A35,$D$9:$D$38,"&lt;7",$F$9:$F$38,"F")+COUNTIFS(Maj!$A$9:$A$39,$A35,Maj!$D$9:$D$39,"&lt;7",Maj!$F$9:$F$39,"F"))</f>
        <v>0</v>
      </c>
      <c r="I35" s="11">
        <v>0</v>
      </c>
      <c r="J35" s="11">
        <v>0</v>
      </c>
      <c r="K35" s="11">
        <v>0</v>
      </c>
      <c r="L35" s="26" t="str">
        <f t="shared" si="12"/>
        <v>07:24</v>
      </c>
      <c r="M35" s="26" t="str">
        <f>IF(OR(F35="N",F35="F"),"0:00",
IF(
OR(
AND(Masterdata!$B$4&lt;&gt;DATE(1900,1,0),Masterdata!$B$4&lt;$E35),
AND(Masterdata!$B$3&lt;&gt;DATE(1900,1,0),Masterdata!$B$3&gt;$E35)
),"0:00",
IF(
$I35&gt;TIME(0,0,0),
IF(
NOT(OR($C35="mandag",$C35="tirsdag",$C35="onsdag",$C35="torsdag",$C35="fredag")),
TEXT($I35,"[tt]:mm"),
IF($I35-$G35&gt;=0,TEXT($I35-$G35,"[tt]:mm"),"-"&amp;TEXT(ABS($I35-$G35),"[tt]:mm"))
),
IF(
NOT(OR($C35="mandag",$C35="tirsdag",$C35="onsdag",$C35="torsdag",$C35="fredag")),
IF($K35-$J35&gt;=0,TEXT($K35-$J35,"[tt]:mm"),"-"&amp;TEXT(ABS($K35-$J35),"[tt]:mm")),
IF(
$K35-$J35-$G35&gt;=0,
TEXT($K35-$J35-$G35,"[tt]:mm"),
"-"&amp;TEXT(ABS($K35-$J35-$G35),"[tt]:mm")
)
)
)
))</f>
        <v>0:00</v>
      </c>
      <c r="N35" s="71" t="str">
        <f t="shared" si="13"/>
        <v>0</v>
      </c>
      <c r="O35" s="25" t="str">
        <f t="shared" si="5"/>
        <v>0:</v>
      </c>
      <c r="P35" s="52" t="str">
        <f t="shared" si="6"/>
        <v>0</v>
      </c>
      <c r="Q35" s="53">
        <f t="shared" si="10"/>
        <v>0</v>
      </c>
      <c r="R35" s="30">
        <f t="shared" si="14"/>
        <v>0</v>
      </c>
      <c r="S35" s="98"/>
      <c r="T35" s="98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</row>
    <row r="36" spans="1:45" x14ac:dyDescent="0.3">
      <c r="A36" s="7">
        <f t="shared" si="2"/>
        <v>18</v>
      </c>
      <c r="B36" s="8">
        <f t="shared" si="9"/>
        <v>46140</v>
      </c>
      <c r="C36" s="9" t="str" cm="1">
        <f t="array" ref="C36">_xlfn.XLOOKUP(E36,Masterdata!$B$31:$B$44,Masterdata!$A$31:$A$44,_xlfn.SWITCH(WEEKDAY($D36, 2), 1, "mandag", 2, "tirsdag", 3, "onsdag", 4, "torsdag", 5, "fredag", 6, "lørdag", 7, "søndag"),0)</f>
        <v>tirsdag</v>
      </c>
      <c r="D36" s="29">
        <f t="shared" si="0"/>
        <v>3</v>
      </c>
      <c r="E36" s="70">
        <f t="shared" si="3"/>
        <v>46140</v>
      </c>
      <c r="F36" s="10" t="s">
        <v>23</v>
      </c>
      <c r="G36" s="12">
        <f>IF(OR(AND(F36="N",NOT(OR(C36="mandag",C36="tirsdag",C36="onsdag",C36="torsdag",C36="fredag"))),F36="F"),0,
        IF(OR(
            AND(Masterdata!$B$4&lt;&gt;DATE(1900,1,0), Masterdata!$B$4&lt;$E36),
            AND(Masterdata!$B$3&lt;&gt;DATE(1900,1,0), Masterdata!$B$3&gt;$E36)
        ),
        0, $X$7/(5-H36)))</f>
        <v>0.30833333333333335</v>
      </c>
      <c r="H36" s="86">
        <f>SUMPRODUCT(COUNTIFS(Marts!$A$9:$A$39,$A36,Marts!$D$9:$D$39,"&lt;7",Marts!$F$9:$F$39,"F")+COUNTIFS($A$9:$A$38,$A36,$D$9:$D$38,"&lt;7",$F$9:$F$38,"F")+COUNTIFS(Maj!$A$9:$A$39,$A36,Maj!$D$9:$D$39,"&lt;7",Maj!$F$9:$F$39,"F"))</f>
        <v>0</v>
      </c>
      <c r="I36" s="11">
        <v>0</v>
      </c>
      <c r="J36" s="11">
        <v>0</v>
      </c>
      <c r="K36" s="11">
        <v>0</v>
      </c>
      <c r="L36" s="26" t="str">
        <f t="shared" si="12"/>
        <v>07:24</v>
      </c>
      <c r="M36" s="26" t="str">
        <f>IF(OR(F36="N",F36="F"),"0:00",
IF(
OR(
AND(Masterdata!$B$4&lt;&gt;DATE(1900,1,0),Masterdata!$B$4&lt;$E36),
AND(Masterdata!$B$3&lt;&gt;DATE(1900,1,0),Masterdata!$B$3&gt;$E36)
),"0:00",
IF(
$I36&gt;TIME(0,0,0),
IF(
NOT(OR($C36="mandag",$C36="tirsdag",$C36="onsdag",$C36="torsdag",$C36="fredag")),
TEXT($I36,"[tt]:mm"),
IF($I36-$G36&gt;=0,TEXT($I36-$G36,"[tt]:mm"),"-"&amp;TEXT(ABS($I36-$G36),"[tt]:mm"))
),
IF(
NOT(OR($C36="mandag",$C36="tirsdag",$C36="onsdag",$C36="torsdag",$C36="fredag")),
IF($K36-$J36&gt;=0,TEXT($K36-$J36,"[tt]:mm"),"-"&amp;TEXT(ABS($K36-$J36),"[tt]:mm")),
IF(
$K36-$J36-$G36&gt;=0,
TEXT($K36-$J36-$G36,"[tt]:mm"),
"-"&amp;TEXT(ABS($K36-$J36-$G36),"[tt]:mm")
)
)
)
))</f>
        <v>0:00</v>
      </c>
      <c r="N36" s="71" t="str">
        <f t="shared" si="13"/>
        <v>0</v>
      </c>
      <c r="O36" s="25" t="str">
        <f t="shared" si="5"/>
        <v>0:</v>
      </c>
      <c r="P36" s="52" t="str">
        <f t="shared" si="6"/>
        <v>0</v>
      </c>
      <c r="Q36" s="53">
        <f t="shared" si="10"/>
        <v>0</v>
      </c>
      <c r="R36" s="30">
        <f t="shared" si="14"/>
        <v>0</v>
      </c>
      <c r="S36" s="98"/>
      <c r="T36" s="98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</row>
    <row r="37" spans="1:45" x14ac:dyDescent="0.3">
      <c r="A37" s="7">
        <f t="shared" si="2"/>
        <v>18</v>
      </c>
      <c r="B37" s="8">
        <f t="shared" si="9"/>
        <v>46141</v>
      </c>
      <c r="C37" s="9" t="str" cm="1">
        <f t="array" ref="C37">_xlfn.XLOOKUP(E37,Masterdata!$B$31:$B$44,Masterdata!$A$31:$A$44,_xlfn.SWITCH(WEEKDAY($D37, 2), 1, "mandag", 2, "tirsdag", 3, "onsdag", 4, "torsdag", 5, "fredag", 6, "lørdag", 7, "søndag"),0)</f>
        <v>onsdag</v>
      </c>
      <c r="D37" s="29">
        <f t="shared" si="0"/>
        <v>4</v>
      </c>
      <c r="E37" s="70">
        <f t="shared" si="3"/>
        <v>46141</v>
      </c>
      <c r="F37" s="10" t="s">
        <v>23</v>
      </c>
      <c r="G37" s="12">
        <f>IF(OR(AND(F37="N",NOT(OR(C37="mandag",C37="tirsdag",C37="onsdag",C37="torsdag",C37="fredag"))),F37="F"),0,
        IF(OR(
            AND(Masterdata!$B$4&lt;&gt;DATE(1900,1,0), Masterdata!$B$4&lt;$E37),
            AND(Masterdata!$B$3&lt;&gt;DATE(1900,1,0), Masterdata!$B$3&gt;$E37)
        ),
        0, $X$7/(5-H37)))</f>
        <v>0.30833333333333335</v>
      </c>
      <c r="H37" s="86">
        <f>SUMPRODUCT(COUNTIFS(Marts!$A$9:$A$39,$A37,Marts!$D$9:$D$39,"&lt;7",Marts!$F$9:$F$39,"F")+COUNTIFS($A$9:$A$38,$A37,$D$9:$D$38,"&lt;7",$F$9:$F$38,"F")+COUNTIFS(Maj!$A$9:$A$39,$A37,Maj!$D$9:$D$39,"&lt;7",Maj!$F$9:$F$39,"F"))</f>
        <v>0</v>
      </c>
      <c r="I37" s="11">
        <v>0</v>
      </c>
      <c r="J37" s="11">
        <v>0</v>
      </c>
      <c r="K37" s="11">
        <v>0</v>
      </c>
      <c r="L37" s="26" t="str">
        <f t="shared" si="12"/>
        <v>07:24</v>
      </c>
      <c r="M37" s="26" t="str">
        <f>IF(OR(F37="N",F37="F"),"0:00",
IF(
OR(
AND(Masterdata!$B$4&lt;&gt;DATE(1900,1,0),Masterdata!$B$4&lt;$E37),
AND(Masterdata!$B$3&lt;&gt;DATE(1900,1,0),Masterdata!$B$3&gt;$E37)
),"0:00",
IF(
$I37&gt;TIME(0,0,0),
IF(
NOT(OR($C37="mandag",$C37="tirsdag",$C37="onsdag",$C37="torsdag",$C37="fredag")),
TEXT($I37,"[tt]:mm"),
IF($I37-$G37&gt;=0,TEXT($I37-$G37,"[tt]:mm"),"-"&amp;TEXT(ABS($I37-$G37),"[tt]:mm"))
),
IF(
NOT(OR($C37="mandag",$C37="tirsdag",$C37="onsdag",$C37="torsdag",$C37="fredag")),
IF($K37-$J37&gt;=0,TEXT($K37-$J37,"[tt]:mm"),"-"&amp;TEXT(ABS($K37-$J37),"[tt]:mm")),
IF(
$K37-$J37-$G37&gt;=0,
TEXT($K37-$J37-$G37,"[tt]:mm"),
"-"&amp;TEXT(ABS($K37-$J37-$G37),"[tt]:mm")
)
)
)
))</f>
        <v>0:00</v>
      </c>
      <c r="N37" s="71" t="str">
        <f t="shared" si="13"/>
        <v>0</v>
      </c>
      <c r="O37" s="25" t="str">
        <f t="shared" si="5"/>
        <v>0:</v>
      </c>
      <c r="P37" s="52" t="str">
        <f t="shared" si="6"/>
        <v>0</v>
      </c>
      <c r="Q37" s="53">
        <f t="shared" si="10"/>
        <v>0</v>
      </c>
      <c r="R37" s="30">
        <f t="shared" si="14"/>
        <v>0</v>
      </c>
      <c r="S37" s="98"/>
      <c r="T37" s="98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</row>
    <row r="38" spans="1:45" x14ac:dyDescent="0.3">
      <c r="A38" s="7">
        <f t="shared" si="2"/>
        <v>18</v>
      </c>
      <c r="B38" s="8">
        <f t="shared" si="9"/>
        <v>46142</v>
      </c>
      <c r="C38" s="9" t="str" cm="1">
        <f t="array" ref="C38">_xlfn.XLOOKUP(E38,Masterdata!$B$31:$B$44,Masterdata!$A$31:$A$44,_xlfn.SWITCH(WEEKDAY($D38, 2), 1, "mandag", 2, "tirsdag", 3, "onsdag", 4, "torsdag", 5, "fredag", 6, "lørdag", 7, "søndag"),0)</f>
        <v>torsdag</v>
      </c>
      <c r="D38" s="29">
        <f t="shared" si="0"/>
        <v>5</v>
      </c>
      <c r="E38" s="70">
        <f t="shared" si="3"/>
        <v>46142</v>
      </c>
      <c r="F38" s="10" t="s">
        <v>23</v>
      </c>
      <c r="G38" s="12">
        <f>IF(OR(AND(F38="N",NOT(OR(C38="mandag",C38="tirsdag",C38="onsdag",C38="torsdag",C38="fredag"))),F38="F"),0,
        IF(OR(
            AND(Masterdata!$B$4&lt;&gt;DATE(1900,1,0), Masterdata!$B$4&lt;$E38),
            AND(Masterdata!$B$3&lt;&gt;DATE(1900,1,0), Masterdata!$B$3&gt;$E38)
        ),
        0, $X$7/(5-H38)))</f>
        <v>0.30833333333333335</v>
      </c>
      <c r="H38" s="86">
        <f>SUMPRODUCT(COUNTIFS(Marts!$A$9:$A$39,$A38,Marts!$D$9:$D$39,"&lt;7",Marts!$F$9:$F$39,"F")+COUNTIFS($A$9:$A$38,$A38,$D$9:$D$38,"&lt;7",$F$9:$F$38,"F")+COUNTIFS(Maj!$A$9:$A$39,$A38,Maj!$D$9:$D$39,"&lt;7",Maj!$F$9:$F$39,"F"))</f>
        <v>0</v>
      </c>
      <c r="I38" s="11">
        <v>0</v>
      </c>
      <c r="J38" s="11">
        <v>0</v>
      </c>
      <c r="K38" s="11">
        <v>0</v>
      </c>
      <c r="L38" s="26" t="str">
        <f t="shared" si="12"/>
        <v>07:24</v>
      </c>
      <c r="M38" s="26" t="str">
        <f>IF(OR(F38="N",F38="F"),"0:00",
IF(
OR(
AND(Masterdata!$B$4&lt;&gt;DATE(1900,1,0),Masterdata!$B$4&lt;$E38),
AND(Masterdata!$B$3&lt;&gt;DATE(1900,1,0),Masterdata!$B$3&gt;$E38)
),"0:00",
IF(
$I38&gt;TIME(0,0,0),
IF(
NOT(OR($C38="mandag",$C38="tirsdag",$C38="onsdag",$C38="torsdag",$C38="fredag")),
TEXT($I38,"[tt]:mm"),
IF($I38-$G38&gt;=0,TEXT($I38-$G38,"[tt]:mm"),"-"&amp;TEXT(ABS($I38-$G38),"[tt]:mm"))
),
IF(
NOT(OR($C38="mandag",$C38="tirsdag",$C38="onsdag",$C38="torsdag",$C38="fredag")),
IF($K38-$J38&gt;=0,TEXT($K38-$J38,"[tt]:mm"),"-"&amp;TEXT(ABS($K38-$J38),"[tt]:mm")),
IF(
$K38-$J38-$G38&gt;=0,
TEXT($K38-$J38-$G38,"[tt]:mm"),
"-"&amp;TEXT(ABS($K38-$J38-$G38),"[tt]:mm")
)
)
)
))</f>
        <v>0:00</v>
      </c>
      <c r="N38" s="71" t="str">
        <f t="shared" si="13"/>
        <v>0</v>
      </c>
      <c r="O38" s="25" t="str">
        <f t="shared" si="5"/>
        <v>0:</v>
      </c>
      <c r="P38" s="52" t="str">
        <f t="shared" si="6"/>
        <v>0</v>
      </c>
      <c r="Q38" s="53">
        <f t="shared" si="10"/>
        <v>0</v>
      </c>
      <c r="R38" s="30">
        <f t="shared" si="14"/>
        <v>0</v>
      </c>
      <c r="S38" s="98"/>
      <c r="T38" s="98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</row>
    <row r="39" spans="1:45" x14ac:dyDescent="0.3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73"/>
      <c r="N39" s="29"/>
      <c r="O39" s="29"/>
      <c r="P39" s="29"/>
      <c r="Q39" s="29"/>
      <c r="R39" s="30">
        <f>SUM(R9:R38)</f>
        <v>0</v>
      </c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</row>
    <row r="40" spans="1:45" x14ac:dyDescent="0.3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</row>
    <row r="41" spans="1:45" x14ac:dyDescent="0.3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</row>
    <row r="42" spans="1:45" x14ac:dyDescent="0.3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</row>
    <row r="43" spans="1:45" x14ac:dyDescent="0.3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</row>
    <row r="44" spans="1:45" x14ac:dyDescent="0.3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</row>
    <row r="45" spans="1:45" x14ac:dyDescent="0.3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</row>
    <row r="46" spans="1:45" x14ac:dyDescent="0.3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</row>
    <row r="47" spans="1:45" x14ac:dyDescent="0.3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</row>
    <row r="48" spans="1:45" x14ac:dyDescent="0.3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</row>
    <row r="49" spans="1:45" x14ac:dyDescent="0.3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</row>
    <row r="50" spans="1:45" x14ac:dyDescent="0.3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</row>
    <row r="51" spans="1:45" x14ac:dyDescent="0.3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</row>
    <row r="52" spans="1:45" x14ac:dyDescent="0.3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</row>
    <row r="53" spans="1:45" x14ac:dyDescent="0.3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</row>
    <row r="54" spans="1:45" x14ac:dyDescent="0.3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</row>
    <row r="55" spans="1:45" x14ac:dyDescent="0.3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</row>
    <row r="56" spans="1:45" x14ac:dyDescent="0.3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</row>
    <row r="57" spans="1:45" x14ac:dyDescent="0.3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</row>
    <row r="58" spans="1:45" x14ac:dyDescent="0.3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</row>
    <row r="59" spans="1:45" x14ac:dyDescent="0.3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</row>
    <row r="60" spans="1:45" x14ac:dyDescent="0.3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</row>
    <row r="61" spans="1:45" x14ac:dyDescent="0.3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</row>
    <row r="62" spans="1:45" x14ac:dyDescent="0.3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</row>
    <row r="63" spans="1:45" x14ac:dyDescent="0.3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</row>
    <row r="64" spans="1:45" x14ac:dyDescent="0.3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</row>
    <row r="65" spans="1:45" x14ac:dyDescent="0.3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</row>
    <row r="66" spans="1:45" x14ac:dyDescent="0.3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</row>
    <row r="67" spans="1:45" x14ac:dyDescent="0.3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</row>
    <row r="68" spans="1:45" x14ac:dyDescent="0.3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</row>
    <row r="69" spans="1:45" x14ac:dyDescent="0.3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</row>
    <row r="70" spans="1:45" x14ac:dyDescent="0.3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</row>
    <row r="71" spans="1:45" x14ac:dyDescent="0.3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</row>
    <row r="72" spans="1:45" x14ac:dyDescent="0.3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</row>
    <row r="73" spans="1:45" x14ac:dyDescent="0.3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</row>
    <row r="74" spans="1:45" x14ac:dyDescent="0.3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</row>
    <row r="75" spans="1:45" x14ac:dyDescent="0.3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</row>
    <row r="76" spans="1:45" x14ac:dyDescent="0.3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</row>
    <row r="77" spans="1:45" x14ac:dyDescent="0.3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</row>
  </sheetData>
  <sheetProtection algorithmName="SHA-512" hashValue="0hM7EpCHeOGSgY+tqJRetJaqTQNtr2NR+LvO1aV15MjP8MZP8SkWoTxq6KQKfeyQZJ9CC2bp22bwEZvOiBdBAA==" saltValue="Ssl8Ud8/srAq1dCcMo1z3Q==" spinCount="100000" sheet="1" objects="1" scenarios="1"/>
  <mergeCells count="36">
    <mergeCell ref="S38:T38"/>
    <mergeCell ref="S27:T27"/>
    <mergeCell ref="S28:T28"/>
    <mergeCell ref="S29:T29"/>
    <mergeCell ref="S30:T30"/>
    <mergeCell ref="S31:T31"/>
    <mergeCell ref="S32:T32"/>
    <mergeCell ref="S33:T33"/>
    <mergeCell ref="S34:T34"/>
    <mergeCell ref="S35:T35"/>
    <mergeCell ref="S36:T36"/>
    <mergeCell ref="S37:T37"/>
    <mergeCell ref="S26:T26"/>
    <mergeCell ref="S15:T15"/>
    <mergeCell ref="S16:T16"/>
    <mergeCell ref="S17:T17"/>
    <mergeCell ref="S18:T18"/>
    <mergeCell ref="S19:T19"/>
    <mergeCell ref="S20:T20"/>
    <mergeCell ref="S21:T21"/>
    <mergeCell ref="S22:T22"/>
    <mergeCell ref="S23:T23"/>
    <mergeCell ref="S24:T24"/>
    <mergeCell ref="S25:T25"/>
    <mergeCell ref="S14:T14"/>
    <mergeCell ref="S2:T2"/>
    <mergeCell ref="S3:T3"/>
    <mergeCell ref="S4:T4"/>
    <mergeCell ref="S5:T5"/>
    <mergeCell ref="S6:T6"/>
    <mergeCell ref="S8:T8"/>
    <mergeCell ref="S9:T9"/>
    <mergeCell ref="S10:T10"/>
    <mergeCell ref="S11:T11"/>
    <mergeCell ref="S12:T12"/>
    <mergeCell ref="S13:T13"/>
  </mergeCells>
  <conditionalFormatting sqref="A9:H38">
    <cfRule type="expression" dxfId="44" priority="1">
      <formula>$F9="F"</formula>
    </cfRule>
    <cfRule type="expression" dxfId="43" priority="3">
      <formula>OR(NOT(OR($C9="mandag", $C9="tirsdag",$C9="onsdag",$C9="torsdag",$C9="fredag")),$F9="F")</formula>
    </cfRule>
  </conditionalFormatting>
  <conditionalFormatting sqref="G9:H38">
    <cfRule type="expression" dxfId="42" priority="5">
      <formula>AND($F9="N", (OR($C9="mandag", $C9="tirsdag",$C9="onsdag",$C9="torsdag",$C9="fredag")))</formula>
    </cfRule>
  </conditionalFormatting>
  <conditionalFormatting sqref="I9:K38">
    <cfRule type="expression" dxfId="41" priority="2">
      <formula>OR($F9="N",$F9="F")</formula>
    </cfRule>
    <cfRule type="expression" dxfId="40" priority="4">
      <formula>$F9="R"</formula>
    </cfRule>
  </conditionalFormatting>
  <dataValidations count="2">
    <dataValidation type="list" allowBlank="1" showInputMessage="1" showErrorMessage="1" sqref="F9:F38" xr:uid="{74D4A9D8-8CEA-4010-A1D5-BBA1D91B4439}">
      <formula1>IF($B$2,$M$3:$M$5,$M$4:$M$5)</formula1>
    </dataValidation>
    <dataValidation type="time" allowBlank="1" showInputMessage="1" showErrorMessage="1" sqref="I9:K38" xr:uid="{1C310549-EB18-47C2-AAA0-4B277F981817}">
      <formula1>0</formula1>
      <formula2>0.999305555555556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565FD-E13F-4B92-B8AE-EFE2FA580FAF}">
  <sheetPr codeName="Ark6"/>
  <dimension ref="A1:AS78"/>
  <sheetViews>
    <sheetView zoomScale="70" zoomScaleNormal="70" workbookViewId="0">
      <selection activeCell="I5" sqref="I5"/>
    </sheetView>
  </sheetViews>
  <sheetFormatPr defaultRowHeight="14.4" outlineLevelCol="1" x14ac:dyDescent="0.3"/>
  <cols>
    <col min="1" max="1" width="15.5546875" customWidth="1"/>
    <col min="2" max="2" width="14.109375" customWidth="1"/>
    <col min="3" max="3" width="16.6640625" customWidth="1"/>
    <col min="4" max="4" width="15" hidden="1" customWidth="1"/>
    <col min="5" max="5" width="12.88671875" hidden="1" customWidth="1"/>
    <col min="6" max="6" width="13.5546875" bestFit="1" customWidth="1"/>
    <col min="7" max="7" width="16.33203125" bestFit="1" customWidth="1"/>
    <col min="8" max="8" width="24.109375" hidden="1" customWidth="1"/>
    <col min="9" max="9" width="17.88671875" customWidth="1"/>
    <col min="10" max="11" width="11.33203125" customWidth="1"/>
    <col min="12" max="12" width="18.6640625" customWidth="1"/>
    <col min="13" max="13" width="11.5546875" customWidth="1"/>
    <col min="14" max="15" width="11.109375" hidden="1" customWidth="1" outlineLevel="1"/>
    <col min="16" max="16" width="7.6640625" hidden="1" customWidth="1" outlineLevel="1"/>
    <col min="17" max="18" width="7.5546875" hidden="1" customWidth="1" outlineLevel="1"/>
    <col min="19" max="19" width="53.44140625" customWidth="1" collapsed="1"/>
    <col min="20" max="20" width="29.44140625" customWidth="1"/>
    <col min="21" max="21" width="9.109375" hidden="1" customWidth="1" outlineLevel="1"/>
    <col min="22" max="22" width="24.6640625" hidden="1" customWidth="1" outlineLevel="1"/>
    <col min="23" max="23" width="43" hidden="1" customWidth="1" outlineLevel="1"/>
    <col min="24" max="24" width="14" hidden="1" customWidth="1" outlineLevel="1"/>
    <col min="25" max="25" width="19.44140625" customWidth="1" outlineLevel="1"/>
  </cols>
  <sheetData>
    <row r="1" spans="1:45" ht="16.5" customHeight="1" thickBot="1" x14ac:dyDescent="0.35">
      <c r="A1" s="14" t="s">
        <v>102</v>
      </c>
      <c r="B1" s="15">
        <v>37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</row>
    <row r="2" spans="1:45" ht="36" customHeight="1" x14ac:dyDescent="0.3">
      <c r="A2" s="39" t="s">
        <v>130</v>
      </c>
      <c r="B2" s="91" t="b">
        <v>0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48" t="s">
        <v>21</v>
      </c>
      <c r="N2" s="67"/>
      <c r="O2" s="67"/>
      <c r="P2" s="67"/>
      <c r="Q2" s="67"/>
      <c r="R2" s="67"/>
      <c r="S2" s="99" t="s">
        <v>22</v>
      </c>
      <c r="T2" s="100"/>
      <c r="U2" s="45"/>
      <c r="W2" s="45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</row>
    <row r="3" spans="1:45" ht="33.75" customHeight="1" x14ac:dyDescent="0.3">
      <c r="A3" s="38" t="s">
        <v>59</v>
      </c>
      <c r="B3" s="68" t="str">
        <f ca="1">Masterdata!$D$27</f>
        <v>00:00</v>
      </c>
      <c r="C3" s="46"/>
      <c r="D3" s="29"/>
      <c r="E3" s="29"/>
      <c r="F3" s="29"/>
      <c r="G3" s="29"/>
      <c r="H3" s="29"/>
      <c r="I3" s="29"/>
      <c r="J3" s="29"/>
      <c r="K3" s="88"/>
      <c r="L3" s="46"/>
      <c r="M3" s="89" t="s">
        <v>49</v>
      </c>
      <c r="N3" s="29"/>
      <c r="O3" s="29"/>
      <c r="P3" s="29"/>
      <c r="Q3" s="29"/>
      <c r="R3" s="29"/>
      <c r="S3" s="101" t="s">
        <v>131</v>
      </c>
      <c r="T3" s="102"/>
      <c r="U3" s="45"/>
      <c r="V3" s="45"/>
      <c r="W3" s="45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</row>
    <row r="4" spans="1:45" ht="28.8" x14ac:dyDescent="0.3">
      <c r="A4" s="39" t="s">
        <v>63</v>
      </c>
      <c r="B4" s="68" t="str">
        <f>IF(R40&lt;0,"-"&amp;TEXT(ABS(R40/24),"[tt]:mm"),TEXT(R40/24,"[tt]:mm"))</f>
        <v>00:00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35" t="s">
        <v>23</v>
      </c>
      <c r="N4" s="29"/>
      <c r="O4" s="29"/>
      <c r="P4" s="29"/>
      <c r="Q4" s="29"/>
      <c r="R4" s="29"/>
      <c r="S4" s="101" t="s">
        <v>24</v>
      </c>
      <c r="T4" s="102"/>
      <c r="U4" s="46"/>
      <c r="V4" s="46"/>
      <c r="W4" s="46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</row>
    <row r="5" spans="1:45" ht="59.1" customHeight="1" x14ac:dyDescent="0.3">
      <c r="A5" s="17" t="s">
        <v>2</v>
      </c>
      <c r="B5" s="40">
        <f>Masterdata!$B$5</f>
        <v>2026</v>
      </c>
      <c r="C5" s="29"/>
      <c r="D5" s="29"/>
      <c r="E5" s="29"/>
      <c r="F5" s="29"/>
      <c r="G5" s="29"/>
      <c r="H5" s="29"/>
      <c r="I5" s="29"/>
      <c r="J5" s="29"/>
      <c r="K5" s="29"/>
      <c r="L5" s="29"/>
      <c r="M5" s="35" t="s">
        <v>25</v>
      </c>
      <c r="N5" s="29"/>
      <c r="O5" s="29"/>
      <c r="P5" s="29"/>
      <c r="Q5" s="29"/>
      <c r="R5" s="29"/>
      <c r="S5" s="103" t="s">
        <v>120</v>
      </c>
      <c r="T5" s="104"/>
      <c r="U5" s="47"/>
      <c r="V5" s="47"/>
      <c r="W5" s="47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</row>
    <row r="6" spans="1:45" ht="15" thickBot="1" x14ac:dyDescent="0.35">
      <c r="A6" s="13" t="s">
        <v>20</v>
      </c>
      <c r="B6" s="18">
        <f>B9</f>
        <v>46143</v>
      </c>
      <c r="C6" s="29"/>
      <c r="D6" s="29"/>
      <c r="E6" s="29"/>
      <c r="F6" s="29"/>
      <c r="G6" s="29"/>
      <c r="H6" s="29"/>
      <c r="I6" s="29"/>
      <c r="J6" s="29"/>
      <c r="K6" s="29"/>
      <c r="L6" s="29"/>
      <c r="M6" s="36" t="s">
        <v>26</v>
      </c>
      <c r="N6" s="69"/>
      <c r="O6" s="69"/>
      <c r="P6" s="69"/>
      <c r="Q6" s="69"/>
      <c r="R6" s="69"/>
      <c r="S6" s="105" t="s">
        <v>27</v>
      </c>
      <c r="T6" s="106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</row>
    <row r="7" spans="1:45" ht="15" thickBot="1" x14ac:dyDescent="0.35">
      <c r="A7" s="29"/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87">
        <f>$B$1/24</f>
        <v>1.5416666666666667</v>
      </c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</row>
    <row r="8" spans="1:45" ht="21.75" customHeight="1" thickBot="1" x14ac:dyDescent="0.35">
      <c r="A8" s="4" t="s">
        <v>28</v>
      </c>
      <c r="B8" s="5" t="s">
        <v>29</v>
      </c>
      <c r="C8" s="5" t="s">
        <v>30</v>
      </c>
      <c r="D8" s="5" t="s">
        <v>31</v>
      </c>
      <c r="E8" s="5" t="s">
        <v>32</v>
      </c>
      <c r="F8" s="5" t="s">
        <v>21</v>
      </c>
      <c r="G8" s="5" t="s">
        <v>102</v>
      </c>
      <c r="H8" s="5" t="s">
        <v>129</v>
      </c>
      <c r="I8" s="5" t="s">
        <v>33</v>
      </c>
      <c r="J8" s="6" t="s">
        <v>34</v>
      </c>
      <c r="K8" s="6" t="s">
        <v>35</v>
      </c>
      <c r="L8" s="6" t="s">
        <v>103</v>
      </c>
      <c r="M8" s="5" t="s">
        <v>36</v>
      </c>
      <c r="N8" s="22" t="s">
        <v>37</v>
      </c>
      <c r="O8" s="23" t="s">
        <v>38</v>
      </c>
      <c r="P8" s="23" t="s">
        <v>39</v>
      </c>
      <c r="Q8" s="23"/>
      <c r="R8" s="29"/>
      <c r="S8" s="107" t="s">
        <v>40</v>
      </c>
      <c r="T8" s="108"/>
      <c r="U8" s="29"/>
      <c r="V8" s="29"/>
      <c r="W8" s="29" t="s">
        <v>41</v>
      </c>
      <c r="X8" s="29">
        <v>5</v>
      </c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</row>
    <row r="9" spans="1:45" x14ac:dyDescent="0.3">
      <c r="A9" s="7">
        <f>WEEKNUM($B9,21)</f>
        <v>18</v>
      </c>
      <c r="B9" s="8">
        <f>DATE(Masterdata!$B$5,5,1)</f>
        <v>46143</v>
      </c>
      <c r="C9" s="9" t="str" cm="1">
        <f t="array" ref="C9">_xlfn.XLOOKUP(E9,Masterdata!$B$31:$B$44,Masterdata!$A$31:$A$44,_xlfn.SWITCH(WEEKDAY($D9, 2), 1, "mandag", 2, "tirsdag", 3, "onsdag", 4, "torsdag", 5, "fredag", 6, "lørdag", 7, "søndag"),0)</f>
        <v>fredag</v>
      </c>
      <c r="D9" s="29">
        <f t="shared" ref="D9:D39" si="0">WEEKDAY($B9, 2)+1</f>
        <v>6</v>
      </c>
      <c r="E9" s="70">
        <f>$B9</f>
        <v>46143</v>
      </c>
      <c r="F9" s="10" t="s">
        <v>23</v>
      </c>
      <c r="G9" s="12">
        <f>IF(OR(AND(F9="N",NOT(OR(C9="mandag",C9="tirsdag",C9="onsdag",C9="torsdag",C9="fredag"))),F9="F"),0,
        IF(OR(
            AND(Masterdata!$B$4&lt;&gt;DATE(1900,1,0), Masterdata!$B$4&lt;$E9),
            AND(Masterdata!$B$3&lt;&gt;DATE(1900,1,0), Masterdata!$B$3&gt;$E9)
        ),
        0, $X$7/(5-H9)))</f>
        <v>0.30833333333333335</v>
      </c>
      <c r="H9" s="86">
        <f>SUMPRODUCT(COUNTIFS(April!$A$9:$A$39,$A9,April!$D$9:$D$39,"&lt;7",April!$F$9:$F$39,"F")+COUNTIFS($A$9:$A$38,$A9,$D$9:$D$38,"&lt;7",$F$9:$F$38,"F")+COUNTIFS(Juni!$A$9:$A$39,$A9,Juni!$D$9:$D$39,"&lt;7",Juni!$F$9:$F$39,"F"))</f>
        <v>0</v>
      </c>
      <c r="I9" s="11">
        <v>0</v>
      </c>
      <c r="J9" s="11">
        <v>0</v>
      </c>
      <c r="K9" s="11">
        <v>0</v>
      </c>
      <c r="L9" s="26" t="str">
        <f t="shared" ref="L9:L15" si="1">IF($F9="F","00:00",
IF($F9="N",TEXT($G9,"[tt]:mm"),
IF($I9&lt;&gt;0,TEXT($I9,"[tt]:mm"),
IF($K9-$J9&gt;=0,
TEXT($K9-$J9,"[tt]:mm"),
"-"&amp;TEXT(ABS($K9-$J9),"[tt]:mm")))))</f>
        <v>07:24</v>
      </c>
      <c r="M9" s="26" t="str">
        <f>IF(OR(F9="N",F9="F"),"0:00",
IF(
OR(
AND(Masterdata!$B$4&lt;&gt;DATE(1900,1,0),Masterdata!$B$4&lt;$E9),
AND(Masterdata!$B$3&lt;&gt;DATE(1900,1,0),Masterdata!$B$3&gt;$E9)
),"0:00",
IF(
$I9&gt;TIME(0,0,0),
IF(
NOT(OR($C9="mandag",$C9="tirsdag",$C9="onsdag",$C9="torsdag",$C9="fredag")),
TEXT($I9,"[tt]:mm"),
IF($I9-$G9&gt;=0,TEXT($I9-$G9,"[tt]:mm"),"-"&amp;TEXT(ABS($I9-$G9),"[tt]:mm"))
),
IF(
NOT(OR($C9="mandag",$C9="tirsdag",$C9="onsdag",$C9="torsdag",$C9="fredag")),
IF($K9-$J9&gt;=0,TEXT($K9-$J9,"[tt]:mm"),"-"&amp;TEXT(ABS($K9-$J9),"[tt]:mm")),
IF(
$K9-$J9-$G9&gt;=0,
TEXT($K9-$J9-$G9,"[tt]:mm"),
"-"&amp;TEXT(ABS($K9-$J9-$G9),"[tt]:mm")
)
)
)
))</f>
        <v>0:00</v>
      </c>
      <c r="N9" s="71" t="str">
        <f>LEFT(M9,1)</f>
        <v>0</v>
      </c>
      <c r="O9" s="25" t="str">
        <f>IF($N9="-",LEFT($M9,3),LEFT($M9,2))</f>
        <v>0:</v>
      </c>
      <c r="P9" s="52" t="str">
        <f>IF($N9="-",MID($M9,5,2),MID($M9,4,2))</f>
        <v>0</v>
      </c>
      <c r="Q9" s="53">
        <f>P9/60</f>
        <v>0</v>
      </c>
      <c r="R9" s="30">
        <f>IF(N9="-",O9-Q9,O9+Q9)</f>
        <v>0</v>
      </c>
      <c r="S9" s="109"/>
      <c r="T9" s="109"/>
      <c r="U9" s="29"/>
      <c r="V9" s="29"/>
      <c r="W9" s="29" t="s">
        <v>42</v>
      </c>
      <c r="X9" s="72">
        <f>$B$1/X8</f>
        <v>7.4</v>
      </c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</row>
    <row r="10" spans="1:45" x14ac:dyDescent="0.3">
      <c r="A10" s="7">
        <f t="shared" ref="A10:A39" si="2">WEEKNUM($B10,21)</f>
        <v>18</v>
      </c>
      <c r="B10" s="8">
        <f>B9+1</f>
        <v>46144</v>
      </c>
      <c r="C10" s="9" t="str" cm="1">
        <f t="array" ref="C10">_xlfn.XLOOKUP(E10,Masterdata!$B$31:$B$44,Masterdata!$A$31:$A$44,_xlfn.SWITCH(WEEKDAY($D10, 2), 1, "mandag", 2, "tirsdag", 3, "onsdag", 4, "torsdag", 5, "fredag", 6, "lørdag", 7, "søndag"),0)</f>
        <v>lørdag</v>
      </c>
      <c r="D10" s="29">
        <f t="shared" si="0"/>
        <v>7</v>
      </c>
      <c r="E10" s="70">
        <f t="shared" ref="E10:E39" si="3">$B10</f>
        <v>46144</v>
      </c>
      <c r="F10" s="10" t="s">
        <v>23</v>
      </c>
      <c r="G10" s="12">
        <f>IF(OR(AND(F10="N",NOT(OR(C10="mandag",C10="tirsdag",C10="onsdag",C10="torsdag",C10="fredag"))),F10="F"),0,
        IF(OR(
            AND(Masterdata!$B$4&lt;&gt;DATE(1900,1,0), Masterdata!$B$4&lt;$E10),
            AND(Masterdata!$B$3&lt;&gt;DATE(1900,1,0), Masterdata!$B$3&gt;$E10)
        ),
        0, $X$7/(5-H10)))</f>
        <v>0</v>
      </c>
      <c r="H10" s="86">
        <f>SUMPRODUCT(COUNTIFS(April!$A$9:$A$39,$A10,April!$D$9:$D$39,"&lt;7",April!$F$9:$F$39,"F")+COUNTIFS($A$9:$A$38,$A10,$D$9:$D$38,"&lt;7",$F$9:$F$38,"F")+COUNTIFS(Juni!$A$9:$A$39,$A10,Juni!$D$9:$D$39,"&lt;7",Juni!$F$9:$F$39,"F"))</f>
        <v>0</v>
      </c>
      <c r="I10" s="11">
        <v>0</v>
      </c>
      <c r="J10" s="11">
        <v>0</v>
      </c>
      <c r="K10" s="11">
        <v>0</v>
      </c>
      <c r="L10" s="26" t="str">
        <f t="shared" si="1"/>
        <v>00:00</v>
      </c>
      <c r="M10" s="26" t="str">
        <f>IF(OR(F10="N",F10="F"),"0:00",
IF(
OR(
AND(Masterdata!$B$4&lt;&gt;DATE(1900,1,0),Masterdata!$B$4&lt;$E10),
AND(Masterdata!$B$3&lt;&gt;DATE(1900,1,0),Masterdata!$B$3&gt;$E10)
),"0:00",
IF(
$I10&gt;TIME(0,0,0),
IF(
NOT(OR($C10="mandag",$C10="tirsdag",$C10="onsdag",$C10="torsdag",$C10="fredag")),
TEXT($I10,"[tt]:mm"),
IF($I10-$G10&gt;=0,TEXT($I10-$G10,"[tt]:mm"),"-"&amp;TEXT(ABS($I10-$G10),"[tt]:mm"))
),
IF(
NOT(OR($C10="mandag",$C10="tirsdag",$C10="onsdag",$C10="torsdag",$C10="fredag")),
IF($K10-$J10&gt;=0,TEXT($K10-$J10,"[tt]:mm"),"-"&amp;TEXT(ABS($K10-$J10),"[tt]:mm")),
IF(
$K10-$J10-$G10&gt;=0,
TEXT($K10-$J10-$G10,"[tt]:mm"),
"-"&amp;TEXT(ABS($K10-$J10-$G10),"[tt]:mm")
)
)
)
))</f>
        <v>0:00</v>
      </c>
      <c r="N10" s="71" t="str">
        <f t="shared" ref="N10:N20" si="4">LEFT(M10,1)</f>
        <v>0</v>
      </c>
      <c r="O10" s="25" t="str">
        <f t="shared" ref="O10:O39" si="5">IF($N10="-",LEFT($M10,3),LEFT($M10,2))</f>
        <v>0:</v>
      </c>
      <c r="P10" s="52" t="str">
        <f t="shared" ref="P10:P39" si="6">IF($N10="-",MID($M10,5,2),MID($M10,4,2))</f>
        <v>0</v>
      </c>
      <c r="Q10" s="53">
        <f t="shared" ref="Q10:Q14" si="7">P10/60</f>
        <v>0</v>
      </c>
      <c r="R10" s="30">
        <f t="shared" ref="R10:R14" si="8">IF(N10="-",O10-Q10,O10+Q10)</f>
        <v>0</v>
      </c>
      <c r="S10" s="109"/>
      <c r="T10" s="109"/>
      <c r="U10" s="29"/>
      <c r="V10" s="29"/>
      <c r="W10" s="29" t="s">
        <v>43</v>
      </c>
      <c r="X10" s="73">
        <f>X9/24</f>
        <v>0.30833333333333335</v>
      </c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</row>
    <row r="11" spans="1:45" x14ac:dyDescent="0.3">
      <c r="A11" s="7">
        <f t="shared" si="2"/>
        <v>18</v>
      </c>
      <c r="B11" s="8">
        <f t="shared" ref="B11:B39" si="9">B10+1</f>
        <v>46145</v>
      </c>
      <c r="C11" s="9" t="str" cm="1">
        <f t="array" ref="C11">_xlfn.XLOOKUP(E11,Masterdata!$B$31:$B$44,Masterdata!$A$31:$A$44,_xlfn.SWITCH(WEEKDAY($D11, 2), 1, "mandag", 2, "tirsdag", 3, "onsdag", 4, "torsdag", 5, "fredag", 6, "lørdag", 7, "søndag"),0)</f>
        <v>søndag</v>
      </c>
      <c r="D11" s="29">
        <f t="shared" si="0"/>
        <v>8</v>
      </c>
      <c r="E11" s="70">
        <f t="shared" si="3"/>
        <v>46145</v>
      </c>
      <c r="F11" s="10" t="s">
        <v>23</v>
      </c>
      <c r="G11" s="12">
        <f>IF(OR(AND(F11="N",NOT(OR(C11="mandag",C11="tirsdag",C11="onsdag",C11="torsdag",C11="fredag"))),F11="F"),0,
        IF(OR(
            AND(Masterdata!$B$4&lt;&gt;DATE(1900,1,0), Masterdata!$B$4&lt;$E11),
            AND(Masterdata!$B$3&lt;&gt;DATE(1900,1,0), Masterdata!$B$3&gt;$E11)
        ),
        0, $X$7/(5-H11)))</f>
        <v>0</v>
      </c>
      <c r="H11" s="86">
        <f>SUMPRODUCT(COUNTIFS(April!$A$9:$A$39,$A11,April!$D$9:$D$39,"&lt;7",April!$F$9:$F$39,"F")+COUNTIFS($A$9:$A$38,$A11,$D$9:$D$38,"&lt;7",$F$9:$F$38,"F")+COUNTIFS(Juni!$A$9:$A$39,$A11,Juni!$D$9:$D$39,"&lt;7",Juni!$F$9:$F$39,"F"))</f>
        <v>0</v>
      </c>
      <c r="I11" s="11">
        <v>0</v>
      </c>
      <c r="J11" s="11">
        <v>0</v>
      </c>
      <c r="K11" s="11">
        <v>0</v>
      </c>
      <c r="L11" s="26" t="str">
        <f t="shared" si="1"/>
        <v>00:00</v>
      </c>
      <c r="M11" s="26" t="str">
        <f>IF(OR(F11="N",F11="F"),"0:00",
IF(
OR(
AND(Masterdata!$B$4&lt;&gt;DATE(1900,1,0),Masterdata!$B$4&lt;$E11),
AND(Masterdata!$B$3&lt;&gt;DATE(1900,1,0),Masterdata!$B$3&gt;$E11)
),"0:00",
IF(
$I11&gt;TIME(0,0,0),
IF(
NOT(OR($C11="mandag",$C11="tirsdag",$C11="onsdag",$C11="torsdag",$C11="fredag")),
TEXT($I11,"[tt]:mm"),
IF($I11-$G11&gt;=0,TEXT($I11-$G11,"[tt]:mm"),"-"&amp;TEXT(ABS($I11-$G11),"[tt]:mm"))
),
IF(
NOT(OR($C11="mandag",$C11="tirsdag",$C11="onsdag",$C11="torsdag",$C11="fredag")),
IF($K11-$J11&gt;=0,TEXT($K11-$J11,"[tt]:mm"),"-"&amp;TEXT(ABS($K11-$J11),"[tt]:mm")),
IF(
$K11-$J11-$G11&gt;=0,
TEXT($K11-$J11-$G11,"[tt]:mm"),
"-"&amp;TEXT(ABS($K11-$J11-$G11),"[tt]:mm")
)
)
)
))</f>
        <v>0:00</v>
      </c>
      <c r="N11" s="71" t="str">
        <f t="shared" si="4"/>
        <v>0</v>
      </c>
      <c r="O11" s="25" t="str">
        <f t="shared" si="5"/>
        <v>0:</v>
      </c>
      <c r="P11" s="52" t="str">
        <f t="shared" si="6"/>
        <v>0</v>
      </c>
      <c r="Q11" s="53">
        <f t="shared" si="7"/>
        <v>0</v>
      </c>
      <c r="R11" s="30">
        <f t="shared" si="8"/>
        <v>0</v>
      </c>
      <c r="S11" s="109"/>
      <c r="T11" s="109"/>
      <c r="U11" s="29" t="s">
        <v>23</v>
      </c>
      <c r="V11" s="29" t="s">
        <v>44</v>
      </c>
      <c r="W11" s="29" t="s">
        <v>45</v>
      </c>
      <c r="X11" s="30">
        <f>(B1/37)*160.33</f>
        <v>160.33000000000001</v>
      </c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</row>
    <row r="12" spans="1:45" x14ac:dyDescent="0.3">
      <c r="A12" s="7">
        <f t="shared" si="2"/>
        <v>19</v>
      </c>
      <c r="B12" s="8">
        <f t="shared" si="9"/>
        <v>46146</v>
      </c>
      <c r="C12" s="9" t="str" cm="1">
        <f t="array" ref="C12">_xlfn.XLOOKUP(E12,Masterdata!$B$31:$B$44,Masterdata!$A$31:$A$44,_xlfn.SWITCH(WEEKDAY($D12, 2), 1, "mandag", 2, "tirsdag", 3, "onsdag", 4, "torsdag", 5, "fredag", 6, "lørdag", 7, "søndag"),0)</f>
        <v>mandag</v>
      </c>
      <c r="D12" s="29">
        <f t="shared" si="0"/>
        <v>2</v>
      </c>
      <c r="E12" s="70">
        <f t="shared" si="3"/>
        <v>46146</v>
      </c>
      <c r="F12" s="10" t="s">
        <v>23</v>
      </c>
      <c r="G12" s="12">
        <f>IF(OR(AND(F12="N",NOT(OR(C12="mandag",C12="tirsdag",C12="onsdag",C12="torsdag",C12="fredag"))),F12="F"),0,
        IF(OR(
            AND(Masterdata!$B$4&lt;&gt;DATE(1900,1,0), Masterdata!$B$4&lt;$E12),
            AND(Masterdata!$B$3&lt;&gt;DATE(1900,1,0), Masterdata!$B$3&gt;$E12)
        ),
        0, $X$7/(5-H12)))</f>
        <v>0.30833333333333335</v>
      </c>
      <c r="H12" s="86">
        <f>SUMPRODUCT(COUNTIFS(April!$A$9:$A$39,$A12,April!$D$9:$D$39,"&lt;7",April!$F$9:$F$39,"F")+COUNTIFS($A$9:$A$38,$A12,$D$9:$D$38,"&lt;7",$F$9:$F$38,"F")+COUNTIFS(Juni!$A$9:$A$39,$A12,Juni!$D$9:$D$39,"&lt;7",Juni!$F$9:$F$39,"F"))</f>
        <v>0</v>
      </c>
      <c r="I12" s="11">
        <v>0</v>
      </c>
      <c r="J12" s="11">
        <v>0</v>
      </c>
      <c r="K12" s="11">
        <v>0</v>
      </c>
      <c r="L12" s="26" t="str">
        <f t="shared" si="1"/>
        <v>07:24</v>
      </c>
      <c r="M12" s="26" t="str">
        <f>IF(OR(F12="N",F12="F"),"0:00",
IF(
OR(
AND(Masterdata!$B$4&lt;&gt;DATE(1900,1,0),Masterdata!$B$4&lt;$E12),
AND(Masterdata!$B$3&lt;&gt;DATE(1900,1,0),Masterdata!$B$3&gt;$E12)
),"0:00",
IF(
$I12&gt;TIME(0,0,0),
IF(
NOT(OR($C12="mandag",$C12="tirsdag",$C12="onsdag",$C12="torsdag",$C12="fredag")),
TEXT($I12,"[tt]:mm"),
IF($I12-$G12&gt;=0,TEXT($I12-$G12,"[tt]:mm"),"-"&amp;TEXT(ABS($I12-$G12),"[tt]:mm"))
),
IF(
NOT(OR($C12="mandag",$C12="tirsdag",$C12="onsdag",$C12="torsdag",$C12="fredag")),
IF($K12-$J12&gt;=0,TEXT($K12-$J12,"[tt]:mm"),"-"&amp;TEXT(ABS($K12-$J12),"[tt]:mm")),
IF(
$K12-$J12-$G12&gt;=0,
TEXT($K12-$J12-$G12,"[tt]:mm"),
"-"&amp;TEXT(ABS($K12-$J12-$G12),"[tt]:mm")
)
)
)
))</f>
        <v>0:00</v>
      </c>
      <c r="N12" s="71" t="str">
        <f t="shared" si="4"/>
        <v>0</v>
      </c>
      <c r="O12" s="25" t="str">
        <f t="shared" si="5"/>
        <v>0:</v>
      </c>
      <c r="P12" s="52" t="str">
        <f t="shared" si="6"/>
        <v>0</v>
      </c>
      <c r="Q12" s="53">
        <f t="shared" si="7"/>
        <v>0</v>
      </c>
      <c r="R12" s="30">
        <f t="shared" si="8"/>
        <v>0</v>
      </c>
      <c r="S12" s="109"/>
      <c r="T12" s="10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</row>
    <row r="13" spans="1:45" x14ac:dyDescent="0.3">
      <c r="A13" s="7">
        <f t="shared" si="2"/>
        <v>19</v>
      </c>
      <c r="B13" s="8">
        <f t="shared" si="9"/>
        <v>46147</v>
      </c>
      <c r="C13" s="9" t="str" cm="1">
        <f t="array" ref="C13">_xlfn.XLOOKUP(E13,Masterdata!$B$31:$B$44,Masterdata!$A$31:$A$44,_xlfn.SWITCH(WEEKDAY($D13, 2), 1, "mandag", 2, "tirsdag", 3, "onsdag", 4, "torsdag", 5, "fredag", 6, "lørdag", 7, "søndag"),0)</f>
        <v>tirsdag</v>
      </c>
      <c r="D13" s="29">
        <f t="shared" si="0"/>
        <v>3</v>
      </c>
      <c r="E13" s="70">
        <f t="shared" si="3"/>
        <v>46147</v>
      </c>
      <c r="F13" s="10" t="s">
        <v>23</v>
      </c>
      <c r="G13" s="12">
        <f>IF(OR(AND(F13="N",NOT(OR(C13="mandag",C13="tirsdag",C13="onsdag",C13="torsdag",C13="fredag"))),F13="F"),0,
        IF(OR(
            AND(Masterdata!$B$4&lt;&gt;DATE(1900,1,0), Masterdata!$B$4&lt;$E13),
            AND(Masterdata!$B$3&lt;&gt;DATE(1900,1,0), Masterdata!$B$3&gt;$E13)
        ),
        0, $X$7/(5-H13)))</f>
        <v>0.30833333333333335</v>
      </c>
      <c r="H13" s="86">
        <f>SUMPRODUCT(COUNTIFS(April!$A$9:$A$39,$A13,April!$D$9:$D$39,"&lt;7",April!$F$9:$F$39,"F")+COUNTIFS($A$9:$A$38,$A13,$D$9:$D$38,"&lt;7",$F$9:$F$38,"F")+COUNTIFS(Juni!$A$9:$A$39,$A13,Juni!$D$9:$D$39,"&lt;7",Juni!$F$9:$F$39,"F"))</f>
        <v>0</v>
      </c>
      <c r="I13" s="11">
        <v>0</v>
      </c>
      <c r="J13" s="11">
        <v>0</v>
      </c>
      <c r="K13" s="11">
        <v>0</v>
      </c>
      <c r="L13" s="26" t="str">
        <f t="shared" si="1"/>
        <v>07:24</v>
      </c>
      <c r="M13" s="26" t="str">
        <f>IF(OR(F13="N",F13="F"),"0:00",
IF(
OR(
AND(Masterdata!$B$4&lt;&gt;DATE(1900,1,0),Masterdata!$B$4&lt;$E13),
AND(Masterdata!$B$3&lt;&gt;DATE(1900,1,0),Masterdata!$B$3&gt;$E13)
),"0:00",
IF(
$I13&gt;TIME(0,0,0),
IF(
NOT(OR($C13="mandag",$C13="tirsdag",$C13="onsdag",$C13="torsdag",$C13="fredag")),
TEXT($I13,"[tt]:mm"),
IF($I13-$G13&gt;=0,TEXT($I13-$G13,"[tt]:mm"),"-"&amp;TEXT(ABS($I13-$G13),"[tt]:mm"))
),
IF(
NOT(OR($C13="mandag",$C13="tirsdag",$C13="onsdag",$C13="torsdag",$C13="fredag")),
IF($K13-$J13&gt;=0,TEXT($K13-$J13,"[tt]:mm"),"-"&amp;TEXT(ABS($K13-$J13),"[tt]:mm")),
IF(
$K13-$J13-$G13&gt;=0,
TEXT($K13-$J13-$G13,"[tt]:mm"),
"-"&amp;TEXT(ABS($K13-$J13-$G13),"[tt]:mm")
)
)
)
))</f>
        <v>0:00</v>
      </c>
      <c r="N13" s="71" t="str">
        <f t="shared" si="4"/>
        <v>0</v>
      </c>
      <c r="O13" s="25" t="str">
        <f t="shared" si="5"/>
        <v>0:</v>
      </c>
      <c r="P13" s="52" t="str">
        <f t="shared" si="6"/>
        <v>0</v>
      </c>
      <c r="Q13" s="53">
        <f t="shared" si="7"/>
        <v>0</v>
      </c>
      <c r="R13" s="30">
        <f t="shared" si="8"/>
        <v>0</v>
      </c>
      <c r="S13" s="109"/>
      <c r="T13" s="109"/>
      <c r="U13" s="29"/>
      <c r="V13" s="29"/>
      <c r="W13" s="29"/>
      <c r="X13" s="30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</row>
    <row r="14" spans="1:45" x14ac:dyDescent="0.3">
      <c r="A14" s="7">
        <f t="shared" si="2"/>
        <v>19</v>
      </c>
      <c r="B14" s="8">
        <f t="shared" si="9"/>
        <v>46148</v>
      </c>
      <c r="C14" s="9" t="str" cm="1">
        <f t="array" ref="C14">_xlfn.XLOOKUP(E14,Masterdata!$B$31:$B$44,Masterdata!$A$31:$A$44,_xlfn.SWITCH(WEEKDAY($D14, 2), 1, "mandag", 2, "tirsdag", 3, "onsdag", 4, "torsdag", 5, "fredag", 6, "lørdag", 7, "søndag"),0)</f>
        <v>onsdag</v>
      </c>
      <c r="D14" s="29">
        <f t="shared" si="0"/>
        <v>4</v>
      </c>
      <c r="E14" s="70">
        <f t="shared" si="3"/>
        <v>46148</v>
      </c>
      <c r="F14" s="10" t="s">
        <v>23</v>
      </c>
      <c r="G14" s="12">
        <f>IF(OR(AND(F14="N",NOT(OR(C14="mandag",C14="tirsdag",C14="onsdag",C14="torsdag",C14="fredag"))),F14="F"),0,
        IF(OR(
            AND(Masterdata!$B$4&lt;&gt;DATE(1900,1,0), Masterdata!$B$4&lt;$E14),
            AND(Masterdata!$B$3&lt;&gt;DATE(1900,1,0), Masterdata!$B$3&gt;$E14)
        ),
        0, $X$7/(5-H14)))</f>
        <v>0.30833333333333335</v>
      </c>
      <c r="H14" s="86">
        <f>SUMPRODUCT(COUNTIFS(April!$A$9:$A$39,$A14,April!$D$9:$D$39,"&lt;7",April!$F$9:$F$39,"F")+COUNTIFS($A$9:$A$38,$A14,$D$9:$D$38,"&lt;7",$F$9:$F$38,"F")+COUNTIFS(Juni!$A$9:$A$39,$A14,Juni!$D$9:$D$39,"&lt;7",Juni!$F$9:$F$39,"F"))</f>
        <v>0</v>
      </c>
      <c r="I14" s="11">
        <v>0</v>
      </c>
      <c r="J14" s="11">
        <v>0</v>
      </c>
      <c r="K14" s="11">
        <v>0</v>
      </c>
      <c r="L14" s="26" t="str">
        <f t="shared" si="1"/>
        <v>07:24</v>
      </c>
      <c r="M14" s="26" t="str">
        <f>IF(OR(F14="N",F14="F"),"0:00",
IF(
OR(
AND(Masterdata!$B$4&lt;&gt;DATE(1900,1,0),Masterdata!$B$4&lt;$E14),
AND(Masterdata!$B$3&lt;&gt;DATE(1900,1,0),Masterdata!$B$3&gt;$E14)
),"0:00",
IF(
$I14&gt;TIME(0,0,0),
IF(
NOT(OR($C14="mandag",$C14="tirsdag",$C14="onsdag",$C14="torsdag",$C14="fredag")),
TEXT($I14,"[tt]:mm"),
IF($I14-$G14&gt;=0,TEXT($I14-$G14,"[tt]:mm"),"-"&amp;TEXT(ABS($I14-$G14),"[tt]:mm"))
),
IF(
NOT(OR($C14="mandag",$C14="tirsdag",$C14="onsdag",$C14="torsdag",$C14="fredag")),
IF($K14-$J14&gt;=0,TEXT($K14-$J14,"[tt]:mm"),"-"&amp;TEXT(ABS($K14-$J14),"[tt]:mm")),
IF(
$K14-$J14-$G14&gt;=0,
TEXT($K14-$J14-$G14,"[tt]:mm"),
"-"&amp;TEXT(ABS($K14-$J14-$G14),"[tt]:mm")
)
)
)
))</f>
        <v>0:00</v>
      </c>
      <c r="N14" s="71" t="str">
        <f t="shared" si="4"/>
        <v>0</v>
      </c>
      <c r="O14" s="25" t="str">
        <f t="shared" si="5"/>
        <v>0:</v>
      </c>
      <c r="P14" s="52" t="str">
        <f t="shared" si="6"/>
        <v>0</v>
      </c>
      <c r="Q14" s="53">
        <f t="shared" si="7"/>
        <v>0</v>
      </c>
      <c r="R14" s="30">
        <f t="shared" si="8"/>
        <v>0</v>
      </c>
      <c r="S14" s="98"/>
      <c r="T14" s="98"/>
      <c r="U14" s="29"/>
      <c r="V14" s="29"/>
      <c r="W14" s="29"/>
      <c r="X14" s="74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</row>
    <row r="15" spans="1:45" x14ac:dyDescent="0.3">
      <c r="A15" s="7">
        <f t="shared" si="2"/>
        <v>19</v>
      </c>
      <c r="B15" s="8">
        <f t="shared" si="9"/>
        <v>46149</v>
      </c>
      <c r="C15" s="9" t="str" cm="1">
        <f t="array" ref="C15">_xlfn.XLOOKUP(E15,Masterdata!$B$31:$B$44,Masterdata!$A$31:$A$44,_xlfn.SWITCH(WEEKDAY($D15, 2), 1, "mandag", 2, "tirsdag", 3, "onsdag", 4, "torsdag", 5, "fredag", 6, "lørdag", 7, "søndag"),0)</f>
        <v>torsdag</v>
      </c>
      <c r="D15" s="29">
        <f t="shared" si="0"/>
        <v>5</v>
      </c>
      <c r="E15" s="70">
        <f t="shared" si="3"/>
        <v>46149</v>
      </c>
      <c r="F15" s="10" t="s">
        <v>23</v>
      </c>
      <c r="G15" s="12">
        <f>IF(OR(AND(F15="N",NOT(OR(C15="mandag",C15="tirsdag",C15="onsdag",C15="torsdag",C15="fredag"))),F15="F"),0,
        IF(OR(
            AND(Masterdata!$B$4&lt;&gt;DATE(1900,1,0), Masterdata!$B$4&lt;$E15),
            AND(Masterdata!$B$3&lt;&gt;DATE(1900,1,0), Masterdata!$B$3&gt;$E15)
        ),
        0, $X$7/(5-H15)))</f>
        <v>0.30833333333333335</v>
      </c>
      <c r="H15" s="86">
        <f>SUMPRODUCT(COUNTIFS(April!$A$9:$A$39,$A15,April!$D$9:$D$39,"&lt;7",April!$F$9:$F$39,"F")+COUNTIFS($A$9:$A$38,$A15,$D$9:$D$38,"&lt;7",$F$9:$F$38,"F")+COUNTIFS(Juni!$A$9:$A$39,$A15,Juni!$D$9:$D$39,"&lt;7",Juni!$F$9:$F$39,"F"))</f>
        <v>0</v>
      </c>
      <c r="I15" s="11">
        <v>0</v>
      </c>
      <c r="J15" s="11">
        <v>0</v>
      </c>
      <c r="K15" s="11">
        <v>0</v>
      </c>
      <c r="L15" s="26" t="str">
        <f t="shared" si="1"/>
        <v>07:24</v>
      </c>
      <c r="M15" s="26" t="str">
        <f>IF(OR(F15="N",F15="F"),"0:00",
IF(
OR(
AND(Masterdata!$B$4&lt;&gt;DATE(1900,1,0),Masterdata!$B$4&lt;$E15),
AND(Masterdata!$B$3&lt;&gt;DATE(1900,1,0),Masterdata!$B$3&gt;$E15)
),"0:00",
IF(
$I15&gt;TIME(0,0,0),
IF(
NOT(OR($C15="mandag",$C15="tirsdag",$C15="onsdag",$C15="torsdag",$C15="fredag")),
TEXT($I15,"[tt]:mm"),
IF($I15-$G15&gt;=0,TEXT($I15-$G15,"[tt]:mm"),"-"&amp;TEXT(ABS($I15-$G15),"[tt]:mm"))
),
IF(
NOT(OR($C15="mandag",$C15="tirsdag",$C15="onsdag",$C15="torsdag",$C15="fredag")),
IF($K15-$J15&gt;=0,TEXT($K15-$J15,"[tt]:mm"),"-"&amp;TEXT(ABS($K15-$J15),"[tt]:mm")),
IF(
$K15-$J15-$G15&gt;=0,
TEXT($K15-$J15-$G15,"[tt]:mm"),
"-"&amp;TEXT(ABS($K15-$J15-$G15),"[tt]:mm")
)
)
)
))</f>
        <v>0:00</v>
      </c>
      <c r="N15" s="71" t="str">
        <f t="shared" si="4"/>
        <v>0</v>
      </c>
      <c r="O15" s="25" t="str">
        <f t="shared" si="5"/>
        <v>0:</v>
      </c>
      <c r="P15" s="52" t="str">
        <f t="shared" si="6"/>
        <v>0</v>
      </c>
      <c r="Q15" s="53">
        <f>P15/60</f>
        <v>0</v>
      </c>
      <c r="R15" s="30">
        <f>IF(N15="-",O15-Q15,O15+Q15)</f>
        <v>0</v>
      </c>
      <c r="S15" s="98"/>
      <c r="T15" s="98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</row>
    <row r="16" spans="1:45" x14ac:dyDescent="0.3">
      <c r="A16" s="7">
        <f t="shared" si="2"/>
        <v>19</v>
      </c>
      <c r="B16" s="8">
        <f t="shared" si="9"/>
        <v>46150</v>
      </c>
      <c r="C16" s="9" t="str" cm="1">
        <f t="array" ref="C16">_xlfn.XLOOKUP(E16,Masterdata!$B$31:$B$44,Masterdata!$A$31:$A$44,_xlfn.SWITCH(WEEKDAY($D16, 2), 1, "mandag", 2, "tirsdag", 3, "onsdag", 4, "torsdag", 5, "fredag", 6, "lørdag", 7, "søndag"),0)</f>
        <v>fredag</v>
      </c>
      <c r="D16" s="29">
        <f t="shared" si="0"/>
        <v>6</v>
      </c>
      <c r="E16" s="70">
        <f t="shared" si="3"/>
        <v>46150</v>
      </c>
      <c r="F16" s="10" t="s">
        <v>23</v>
      </c>
      <c r="G16" s="12">
        <f>IF(OR(AND(F16="N",NOT(OR(C16="mandag",C16="tirsdag",C16="onsdag",C16="torsdag",C16="fredag"))),F16="F"),0,
        IF(OR(
            AND(Masterdata!$B$4&lt;&gt;DATE(1900,1,0), Masterdata!$B$4&lt;$E16),
            AND(Masterdata!$B$3&lt;&gt;DATE(1900,1,0), Masterdata!$B$3&gt;$E16)
        ),
        0, $X$7/(5-H16)))</f>
        <v>0.30833333333333335</v>
      </c>
      <c r="H16" s="86">
        <f>SUMPRODUCT(COUNTIFS(April!$A$9:$A$39,$A16,April!$D$9:$D$39,"&lt;7",April!$F$9:$F$39,"F")+COUNTIFS($A$9:$A$38,$A16,$D$9:$D$38,"&lt;7",$F$9:$F$38,"F")+COUNTIFS(Juni!$A$9:$A$39,$A16,Juni!$D$9:$D$39,"&lt;7",Juni!$F$9:$F$39,"F"))</f>
        <v>0</v>
      </c>
      <c r="I16" s="11">
        <v>0</v>
      </c>
      <c r="J16" s="11">
        <v>0</v>
      </c>
      <c r="K16" s="11">
        <v>0</v>
      </c>
      <c r="L16" s="26" t="str">
        <f>IF($F16="F","00:00",
IF($F16="N",TEXT($G16,"[tt]:mm"),
IF($I16&lt;&gt;0,TEXT($I16,"[tt]:mm"),
IF($K16-$J16&gt;=0,
TEXT($K16-$J16,"[tt]:mm"),
"-"&amp;TEXT(ABS($K16-$J16),"[tt]:mm")))))</f>
        <v>07:24</v>
      </c>
      <c r="M16" s="26" t="str">
        <f>IF(OR(F16="N",F16="F"),"0:00",
IF(
OR(
AND(Masterdata!$B$4&lt;&gt;DATE(1900,1,0),Masterdata!$B$4&lt;$E16),
AND(Masterdata!$B$3&lt;&gt;DATE(1900,1,0),Masterdata!$B$3&gt;$E16)
),"0:00",
IF(
$I16&gt;TIME(0,0,0),
IF(
NOT(OR($C16="mandag",$C16="tirsdag",$C16="onsdag",$C16="torsdag",$C16="fredag")),
TEXT($I16,"[tt]:mm"),
IF($I16-$G16&gt;=0,TEXT($I16-$G16,"[tt]:mm"),"-"&amp;TEXT(ABS($I16-$G16),"[tt]:mm"))
),
IF(
NOT(OR($C16="mandag",$C16="tirsdag",$C16="onsdag",$C16="torsdag",$C16="fredag")),
IF($K16-$J16&gt;=0,TEXT($K16-$J16,"[tt]:mm"),"-"&amp;TEXT(ABS($K16-$J16),"[tt]:mm")),
IF(
$K16-$J16-$G16&gt;=0,
TEXT($K16-$J16-$G16,"[tt]:mm"),
"-"&amp;TEXT(ABS($K16-$J16-$G16),"[tt]:mm")
)
)
)
))</f>
        <v>0:00</v>
      </c>
      <c r="N16" s="71" t="str">
        <f t="shared" si="4"/>
        <v>0</v>
      </c>
      <c r="O16" s="25" t="str">
        <f t="shared" si="5"/>
        <v>0:</v>
      </c>
      <c r="P16" s="52" t="str">
        <f t="shared" si="6"/>
        <v>0</v>
      </c>
      <c r="Q16" s="53">
        <f t="shared" ref="Q16:Q39" si="10">P16/60</f>
        <v>0</v>
      </c>
      <c r="R16" s="30">
        <f t="shared" ref="R16:R20" si="11">IF(N16="-",O16-Q16,O16+Q16)</f>
        <v>0</v>
      </c>
      <c r="S16" s="98"/>
      <c r="T16" s="98"/>
      <c r="U16" s="29" t="s">
        <v>46</v>
      </c>
      <c r="V16" s="29" t="s">
        <v>47</v>
      </c>
      <c r="W16" s="29" t="s">
        <v>48</v>
      </c>
      <c r="X16" s="30">
        <f>X11-X14</f>
        <v>160.33000000000001</v>
      </c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</row>
    <row r="17" spans="1:45" x14ac:dyDescent="0.3">
      <c r="A17" s="7">
        <f t="shared" si="2"/>
        <v>19</v>
      </c>
      <c r="B17" s="8">
        <f t="shared" si="9"/>
        <v>46151</v>
      </c>
      <c r="C17" s="9" t="str" cm="1">
        <f t="array" ref="C17">_xlfn.XLOOKUP(E17,Masterdata!$B$31:$B$44,Masterdata!$A$31:$A$44,_xlfn.SWITCH(WEEKDAY($D17, 2), 1, "mandag", 2, "tirsdag", 3, "onsdag", 4, "torsdag", 5, "fredag", 6, "lørdag", 7, "søndag"),0)</f>
        <v>lørdag</v>
      </c>
      <c r="D17" s="29">
        <f t="shared" si="0"/>
        <v>7</v>
      </c>
      <c r="E17" s="70">
        <f t="shared" si="3"/>
        <v>46151</v>
      </c>
      <c r="F17" s="10" t="s">
        <v>23</v>
      </c>
      <c r="G17" s="12">
        <f>IF(OR(AND(F17="N",NOT(OR(C17="mandag",C17="tirsdag",C17="onsdag",C17="torsdag",C17="fredag"))),F17="F"),0,
        IF(OR(
            AND(Masterdata!$B$4&lt;&gt;DATE(1900,1,0), Masterdata!$B$4&lt;$E17),
            AND(Masterdata!$B$3&lt;&gt;DATE(1900,1,0), Masterdata!$B$3&gt;$E17)
        ),
        0, $X$7/(5-H17)))</f>
        <v>0</v>
      </c>
      <c r="H17" s="86">
        <f>SUMPRODUCT(COUNTIFS(April!$A$9:$A$39,$A17,April!$D$9:$D$39,"&lt;7",April!$F$9:$F$39,"F")+COUNTIFS($A$9:$A$38,$A17,$D$9:$D$38,"&lt;7",$F$9:$F$38,"F")+COUNTIFS(Juni!$A$9:$A$39,$A17,Juni!$D$9:$D$39,"&lt;7",Juni!$F$9:$F$39,"F"))</f>
        <v>0</v>
      </c>
      <c r="I17" s="11">
        <v>0</v>
      </c>
      <c r="J17" s="11">
        <v>0</v>
      </c>
      <c r="K17" s="11">
        <v>0</v>
      </c>
      <c r="L17" s="26" t="str">
        <f t="shared" ref="L17:L39" si="12">IF($F17="F","00:00",
IF($F17="N",TEXT($G17,"[tt]:mm"),
IF($I17&lt;&gt;0,TEXT($I17,"[tt]:mm"),
IF($K17-$J17&gt;=0,
TEXT($K17-$J17,"[tt]:mm"),
"-"&amp;TEXT(ABS($K17-$J17),"[tt]:mm")))))</f>
        <v>00:00</v>
      </c>
      <c r="M17" s="26" t="str">
        <f>IF(OR(F17="N",F17="F"),"0:00",
IF(
OR(
AND(Masterdata!$B$4&lt;&gt;DATE(1900,1,0),Masterdata!$B$4&lt;$E17),
AND(Masterdata!$B$3&lt;&gt;DATE(1900,1,0),Masterdata!$B$3&gt;$E17)
),"0:00",
IF(
$I17&gt;TIME(0,0,0),
IF(
NOT(OR($C17="mandag",$C17="tirsdag",$C17="onsdag",$C17="torsdag",$C17="fredag")),
TEXT($I17,"[tt]:mm"),
IF($I17-$G17&gt;=0,TEXT($I17-$G17,"[tt]:mm"),"-"&amp;TEXT(ABS($I17-$G17),"[tt]:mm"))
),
IF(
NOT(OR($C17="mandag",$C17="tirsdag",$C17="onsdag",$C17="torsdag",$C17="fredag")),
IF($K17-$J17&gt;=0,TEXT($K17-$J17,"[tt]:mm"),"-"&amp;TEXT(ABS($K17-$J17),"[tt]:mm")),
IF(
$K17-$J17-$G17&gt;=0,
TEXT($K17-$J17-$G17,"[tt]:mm"),
"-"&amp;TEXT(ABS($K17-$J17-$G17),"[tt]:mm")
)
)
)
))</f>
        <v>0:00</v>
      </c>
      <c r="N17" s="71" t="str">
        <f t="shared" si="4"/>
        <v>0</v>
      </c>
      <c r="O17" s="25" t="str">
        <f t="shared" si="5"/>
        <v>0:</v>
      </c>
      <c r="P17" s="52" t="str">
        <f t="shared" si="6"/>
        <v>0</v>
      </c>
      <c r="Q17" s="53">
        <f t="shared" si="10"/>
        <v>0</v>
      </c>
      <c r="R17" s="30">
        <f t="shared" si="11"/>
        <v>0</v>
      </c>
      <c r="S17" s="98"/>
      <c r="T17" s="98"/>
      <c r="U17" s="29" t="s">
        <v>49</v>
      </c>
      <c r="V17" s="29" t="s">
        <v>50</v>
      </c>
      <c r="W17" s="29" t="s">
        <v>51</v>
      </c>
      <c r="X17" s="30" t="e">
        <f>SUM(#REF!)</f>
        <v>#REF!</v>
      </c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</row>
    <row r="18" spans="1:45" x14ac:dyDescent="0.3">
      <c r="A18" s="7">
        <f t="shared" si="2"/>
        <v>19</v>
      </c>
      <c r="B18" s="8">
        <f t="shared" si="9"/>
        <v>46152</v>
      </c>
      <c r="C18" s="9" t="str" cm="1">
        <f t="array" ref="C18">_xlfn.XLOOKUP(E18,Masterdata!$B$31:$B$44,Masterdata!$A$31:$A$44,_xlfn.SWITCH(WEEKDAY($D18, 2), 1, "mandag", 2, "tirsdag", 3, "onsdag", 4, "torsdag", 5, "fredag", 6, "lørdag", 7, "søndag"),0)</f>
        <v>søndag</v>
      </c>
      <c r="D18" s="29">
        <f t="shared" si="0"/>
        <v>8</v>
      </c>
      <c r="E18" s="70">
        <f t="shared" si="3"/>
        <v>46152</v>
      </c>
      <c r="F18" s="10" t="s">
        <v>23</v>
      </c>
      <c r="G18" s="12">
        <f>IF(OR(AND(F18="N",NOT(OR(C18="mandag",C18="tirsdag",C18="onsdag",C18="torsdag",C18="fredag"))),F18="F"),0,
        IF(OR(
            AND(Masterdata!$B$4&lt;&gt;DATE(1900,1,0), Masterdata!$B$4&lt;$E18),
            AND(Masterdata!$B$3&lt;&gt;DATE(1900,1,0), Masterdata!$B$3&gt;$E18)
        ),
        0, $X$7/(5-H18)))</f>
        <v>0</v>
      </c>
      <c r="H18" s="86">
        <f>SUMPRODUCT(COUNTIFS(April!$A$9:$A$39,$A18,April!$D$9:$D$39,"&lt;7",April!$F$9:$F$39,"F")+COUNTIFS($A$9:$A$38,$A18,$D$9:$D$38,"&lt;7",$F$9:$F$38,"F")+COUNTIFS(Juni!$A$9:$A$39,$A18,Juni!$D$9:$D$39,"&lt;7",Juni!$F$9:$F$39,"F"))</f>
        <v>0</v>
      </c>
      <c r="I18" s="11">
        <v>0</v>
      </c>
      <c r="J18" s="11">
        <v>0</v>
      </c>
      <c r="K18" s="11">
        <v>0</v>
      </c>
      <c r="L18" s="26" t="str">
        <f t="shared" si="12"/>
        <v>00:00</v>
      </c>
      <c r="M18" s="26" t="str">
        <f>IF(OR(F18="N",F18="F"),"0:00",
IF(
OR(
AND(Masterdata!$B$4&lt;&gt;DATE(1900,1,0),Masterdata!$B$4&lt;$E18),
AND(Masterdata!$B$3&lt;&gt;DATE(1900,1,0),Masterdata!$B$3&gt;$E18)
),"0:00",
IF(
$I18&gt;TIME(0,0,0),
IF(
NOT(OR($C18="mandag",$C18="tirsdag",$C18="onsdag",$C18="torsdag",$C18="fredag")),
TEXT($I18,"[tt]:mm"),
IF($I18-$G18&gt;=0,TEXT($I18-$G18,"[tt]:mm"),"-"&amp;TEXT(ABS($I18-$G18),"[tt]:mm"))
),
IF(
NOT(OR($C18="mandag",$C18="tirsdag",$C18="onsdag",$C18="torsdag",$C18="fredag")),
IF($K18-$J18&gt;=0,TEXT($K18-$J18,"[tt]:mm"),"-"&amp;TEXT(ABS($K18-$J18),"[tt]:mm")),
IF(
$K18-$J18-$G18&gt;=0,
TEXT($K18-$J18-$G18,"[tt]:mm"),
"-"&amp;TEXT(ABS($K18-$J18-$G18),"[tt]:mm")
)
)
)
))</f>
        <v>0:00</v>
      </c>
      <c r="N18" s="71" t="str">
        <f t="shared" si="4"/>
        <v>0</v>
      </c>
      <c r="O18" s="25" t="str">
        <f t="shared" si="5"/>
        <v>0:</v>
      </c>
      <c r="P18" s="52" t="str">
        <f t="shared" si="6"/>
        <v>0</v>
      </c>
      <c r="Q18" s="53">
        <f t="shared" si="10"/>
        <v>0</v>
      </c>
      <c r="R18" s="30">
        <f t="shared" si="11"/>
        <v>0</v>
      </c>
      <c r="S18" s="98"/>
      <c r="T18" s="98"/>
      <c r="U18" s="29" t="s">
        <v>25</v>
      </c>
      <c r="V18" s="29" t="s">
        <v>52</v>
      </c>
      <c r="W18" s="29" t="s">
        <v>53</v>
      </c>
      <c r="X18" s="30" t="e">
        <f>X16-X17</f>
        <v>#REF!</v>
      </c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</row>
    <row r="19" spans="1:45" x14ac:dyDescent="0.3">
      <c r="A19" s="7">
        <f t="shared" si="2"/>
        <v>20</v>
      </c>
      <c r="B19" s="8">
        <f t="shared" si="9"/>
        <v>46153</v>
      </c>
      <c r="C19" s="9" t="str" cm="1">
        <f t="array" ref="C19">_xlfn.XLOOKUP(E19,Masterdata!$B$31:$B$44,Masterdata!$A$31:$A$44,_xlfn.SWITCH(WEEKDAY($D19, 2), 1, "mandag", 2, "tirsdag", 3, "onsdag", 4, "torsdag", 5, "fredag", 6, "lørdag", 7, "søndag"),0)</f>
        <v>mandag</v>
      </c>
      <c r="D19" s="29">
        <f t="shared" si="0"/>
        <v>2</v>
      </c>
      <c r="E19" s="70">
        <f t="shared" si="3"/>
        <v>46153</v>
      </c>
      <c r="F19" s="10" t="s">
        <v>23</v>
      </c>
      <c r="G19" s="12">
        <f>IF(OR(AND(F19="N",NOT(OR(C19="mandag",C19="tirsdag",C19="onsdag",C19="torsdag",C19="fredag"))),F19="F"),0,
        IF(OR(
            AND(Masterdata!$B$4&lt;&gt;DATE(1900,1,0), Masterdata!$B$4&lt;$E19),
            AND(Masterdata!$B$3&lt;&gt;DATE(1900,1,0), Masterdata!$B$3&gt;$E19)
        ),
        0, $X$7/(5-H19)))</f>
        <v>0.30833333333333335</v>
      </c>
      <c r="H19" s="86">
        <f>SUMPRODUCT(COUNTIFS(April!$A$9:$A$39,$A19,April!$D$9:$D$39,"&lt;7",April!$F$9:$F$39,"F")+COUNTIFS($A$9:$A$38,$A19,$D$9:$D$38,"&lt;7",$F$9:$F$38,"F")+COUNTIFS(Juni!$A$9:$A$39,$A19,Juni!$D$9:$D$39,"&lt;7",Juni!$F$9:$F$39,"F"))</f>
        <v>0</v>
      </c>
      <c r="I19" s="11">
        <v>0</v>
      </c>
      <c r="J19" s="11">
        <v>0</v>
      </c>
      <c r="K19" s="11">
        <v>0</v>
      </c>
      <c r="L19" s="26" t="str">
        <f t="shared" si="12"/>
        <v>07:24</v>
      </c>
      <c r="M19" s="26" t="str">
        <f>IF(OR(F19="N",F19="F"),"0:00",
IF(
OR(
AND(Masterdata!$B$4&lt;&gt;DATE(1900,1,0),Masterdata!$B$4&lt;$E19),
AND(Masterdata!$B$3&lt;&gt;DATE(1900,1,0),Masterdata!$B$3&gt;$E19)
),"0:00",
IF(
$I19&gt;TIME(0,0,0),
IF(
NOT(OR($C19="mandag",$C19="tirsdag",$C19="onsdag",$C19="torsdag",$C19="fredag")),
TEXT($I19,"[tt]:mm"),
IF($I19-$G19&gt;=0,TEXT($I19-$G19,"[tt]:mm"),"-"&amp;TEXT(ABS($I19-$G19),"[tt]:mm"))
),
IF(
NOT(OR($C19="mandag",$C19="tirsdag",$C19="onsdag",$C19="torsdag",$C19="fredag")),
IF($K19-$J19&gt;=0,TEXT($K19-$J19,"[tt]:mm"),"-"&amp;TEXT(ABS($K19-$J19),"[tt]:mm")),
IF(
$K19-$J19-$G19&gt;=0,
TEXT($K19-$J19-$G19,"[tt]:mm"),
"-"&amp;TEXT(ABS($K19-$J19-$G19),"[tt]:mm")
)
)
)
))</f>
        <v>0:00</v>
      </c>
      <c r="N19" s="71" t="str">
        <f t="shared" si="4"/>
        <v>0</v>
      </c>
      <c r="O19" s="25" t="str">
        <f t="shared" si="5"/>
        <v>0:</v>
      </c>
      <c r="P19" s="52" t="str">
        <f t="shared" si="6"/>
        <v>0</v>
      </c>
      <c r="Q19" s="53">
        <f t="shared" si="10"/>
        <v>0</v>
      </c>
      <c r="R19" s="30">
        <f t="shared" si="11"/>
        <v>0</v>
      </c>
      <c r="S19" s="98"/>
      <c r="T19" s="98"/>
      <c r="U19" s="29"/>
      <c r="V19" s="29"/>
      <c r="W19" s="70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</row>
    <row r="20" spans="1:45" x14ac:dyDescent="0.3">
      <c r="A20" s="7">
        <f t="shared" si="2"/>
        <v>20</v>
      </c>
      <c r="B20" s="8">
        <f t="shared" si="9"/>
        <v>46154</v>
      </c>
      <c r="C20" s="9" t="str" cm="1">
        <f t="array" ref="C20">_xlfn.XLOOKUP(E20,Masterdata!$B$31:$B$44,Masterdata!$A$31:$A$44,_xlfn.SWITCH(WEEKDAY($D20, 2), 1, "mandag", 2, "tirsdag", 3, "onsdag", 4, "torsdag", 5, "fredag", 6, "lørdag", 7, "søndag"),0)</f>
        <v>tirsdag</v>
      </c>
      <c r="D20" s="29">
        <f t="shared" si="0"/>
        <v>3</v>
      </c>
      <c r="E20" s="70">
        <f t="shared" si="3"/>
        <v>46154</v>
      </c>
      <c r="F20" s="10" t="s">
        <v>23</v>
      </c>
      <c r="G20" s="12">
        <f>IF(OR(AND(F20="N",NOT(OR(C20="mandag",C20="tirsdag",C20="onsdag",C20="torsdag",C20="fredag"))),F20="F"),0,
        IF(OR(
            AND(Masterdata!$B$4&lt;&gt;DATE(1900,1,0), Masterdata!$B$4&lt;$E20),
            AND(Masterdata!$B$3&lt;&gt;DATE(1900,1,0), Masterdata!$B$3&gt;$E20)
        ),
        0, $X$7/(5-H20)))</f>
        <v>0.30833333333333335</v>
      </c>
      <c r="H20" s="86">
        <f>SUMPRODUCT(COUNTIFS(April!$A$9:$A$39,$A20,April!$D$9:$D$39,"&lt;7",April!$F$9:$F$39,"F")+COUNTIFS($A$9:$A$38,$A20,$D$9:$D$38,"&lt;7",$F$9:$F$38,"F")+COUNTIFS(Juni!$A$9:$A$39,$A20,Juni!$D$9:$D$39,"&lt;7",Juni!$F$9:$F$39,"F"))</f>
        <v>0</v>
      </c>
      <c r="I20" s="11">
        <v>0</v>
      </c>
      <c r="J20" s="11">
        <v>0</v>
      </c>
      <c r="K20" s="11">
        <v>0</v>
      </c>
      <c r="L20" s="26" t="str">
        <f t="shared" si="12"/>
        <v>07:24</v>
      </c>
      <c r="M20" s="26" t="str">
        <f>IF(OR(F20="N",F20="F"),"0:00",
IF(
OR(
AND(Masterdata!$B$4&lt;&gt;DATE(1900,1,0),Masterdata!$B$4&lt;$E20),
AND(Masterdata!$B$3&lt;&gt;DATE(1900,1,0),Masterdata!$B$3&gt;$E20)
),"0:00",
IF(
$I20&gt;TIME(0,0,0),
IF(
NOT(OR($C20="mandag",$C20="tirsdag",$C20="onsdag",$C20="torsdag",$C20="fredag")),
TEXT($I20,"[tt]:mm"),
IF($I20-$G20&gt;=0,TEXT($I20-$G20,"[tt]:mm"),"-"&amp;TEXT(ABS($I20-$G20),"[tt]:mm"))
),
IF(
NOT(OR($C20="mandag",$C20="tirsdag",$C20="onsdag",$C20="torsdag",$C20="fredag")),
IF($K20-$J20&gt;=0,TEXT($K20-$J20,"[tt]:mm"),"-"&amp;TEXT(ABS($K20-$J20),"[tt]:mm")),
IF(
$K20-$J20-$G20&gt;=0,
TEXT($K20-$J20-$G20,"[tt]:mm"),
"-"&amp;TEXT(ABS($K20-$J20-$G20),"[tt]:mm")
)
)
)
))</f>
        <v>0:00</v>
      </c>
      <c r="N20" s="71" t="str">
        <f t="shared" si="4"/>
        <v>0</v>
      </c>
      <c r="O20" s="25" t="str">
        <f t="shared" si="5"/>
        <v>0:</v>
      </c>
      <c r="P20" s="52" t="str">
        <f t="shared" si="6"/>
        <v>0</v>
      </c>
      <c r="Q20" s="53">
        <f t="shared" si="10"/>
        <v>0</v>
      </c>
      <c r="R20" s="30">
        <f t="shared" si="11"/>
        <v>0</v>
      </c>
      <c r="S20" s="98"/>
      <c r="T20" s="98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</row>
    <row r="21" spans="1:45" x14ac:dyDescent="0.3">
      <c r="A21" s="7">
        <f t="shared" si="2"/>
        <v>20</v>
      </c>
      <c r="B21" s="8">
        <f t="shared" si="9"/>
        <v>46155</v>
      </c>
      <c r="C21" s="9" t="str" cm="1">
        <f t="array" ref="C21">_xlfn.XLOOKUP(E21,Masterdata!$B$31:$B$44,Masterdata!$A$31:$A$44,_xlfn.SWITCH(WEEKDAY($D21, 2), 1, "mandag", 2, "tirsdag", 3, "onsdag", 4, "torsdag", 5, "fredag", 6, "lørdag", 7, "søndag"),0)</f>
        <v>onsdag</v>
      </c>
      <c r="D21" s="29">
        <f t="shared" si="0"/>
        <v>4</v>
      </c>
      <c r="E21" s="70">
        <f t="shared" si="3"/>
        <v>46155</v>
      </c>
      <c r="F21" s="10" t="s">
        <v>23</v>
      </c>
      <c r="G21" s="12">
        <f>IF(OR(AND(F21="N",NOT(OR(C21="mandag",C21="tirsdag",C21="onsdag",C21="torsdag",C21="fredag"))),F21="F"),0,
        IF(OR(
            AND(Masterdata!$B$4&lt;&gt;DATE(1900,1,0), Masterdata!$B$4&lt;$E21),
            AND(Masterdata!$B$3&lt;&gt;DATE(1900,1,0), Masterdata!$B$3&gt;$E21)
        ),
        0, $X$7/(5-H21)))</f>
        <v>0.30833333333333335</v>
      </c>
      <c r="H21" s="86">
        <f>SUMPRODUCT(COUNTIFS(April!$A$9:$A$39,$A21,April!$D$9:$D$39,"&lt;7",April!$F$9:$F$39,"F")+COUNTIFS($A$9:$A$38,$A21,$D$9:$D$38,"&lt;7",$F$9:$F$38,"F")+COUNTIFS(Juni!$A$9:$A$39,$A21,Juni!$D$9:$D$39,"&lt;7",Juni!$F$9:$F$39,"F"))</f>
        <v>0</v>
      </c>
      <c r="I21" s="11">
        <v>0</v>
      </c>
      <c r="J21" s="11">
        <v>0</v>
      </c>
      <c r="K21" s="11">
        <v>0</v>
      </c>
      <c r="L21" s="26" t="str">
        <f t="shared" si="12"/>
        <v>07:24</v>
      </c>
      <c r="M21" s="26" t="str">
        <f>IF(OR(F21="N",F21="F"),"0:00",
IF(
OR(
AND(Masterdata!$B$4&lt;&gt;DATE(1900,1,0),Masterdata!$B$4&lt;$E21),
AND(Masterdata!$B$3&lt;&gt;DATE(1900,1,0),Masterdata!$B$3&gt;$E21)
),"0:00",
IF(
$I21&gt;TIME(0,0,0),
IF(
NOT(OR($C21="mandag",$C21="tirsdag",$C21="onsdag",$C21="torsdag",$C21="fredag")),
TEXT($I21,"[tt]:mm"),
IF($I21-$G21&gt;=0,TEXT($I21-$G21,"[tt]:mm"),"-"&amp;TEXT(ABS($I21-$G21),"[tt]:mm"))
),
IF(
NOT(OR($C21="mandag",$C21="tirsdag",$C21="onsdag",$C21="torsdag",$C21="fredag")),
IF($K21-$J21&gt;=0,TEXT($K21-$J21,"[tt]:mm"),"-"&amp;TEXT(ABS($K21-$J21),"[tt]:mm")),
IF(
$K21-$J21-$G21&gt;=0,
TEXT($K21-$J21-$G21,"[tt]:mm"),
"-"&amp;TEXT(ABS($K21-$J21-$G21),"[tt]:mm")
)
)
)
))</f>
        <v>0:00</v>
      </c>
      <c r="N21" s="71" t="str">
        <f>LEFT(M21,1)</f>
        <v>0</v>
      </c>
      <c r="O21" s="25" t="str">
        <f t="shared" si="5"/>
        <v>0:</v>
      </c>
      <c r="P21" s="52" t="str">
        <f t="shared" si="6"/>
        <v>0</v>
      </c>
      <c r="Q21" s="53">
        <f t="shared" si="10"/>
        <v>0</v>
      </c>
      <c r="R21" s="30">
        <f>IF(N21="-",O21-Q21,O21+Q21)</f>
        <v>0</v>
      </c>
      <c r="S21" s="98"/>
      <c r="T21" s="98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</row>
    <row r="22" spans="1:45" x14ac:dyDescent="0.3">
      <c r="A22" s="7">
        <f t="shared" si="2"/>
        <v>20</v>
      </c>
      <c r="B22" s="8">
        <f t="shared" si="9"/>
        <v>46156</v>
      </c>
      <c r="C22" s="9" t="str" cm="1">
        <f t="array" ref="C22">_xlfn.XLOOKUP(E22,Masterdata!$B$31:$B$44,Masterdata!$A$31:$A$44,_xlfn.SWITCH(WEEKDAY($D22, 2), 1, "mandag", 2, "tirsdag", 3, "onsdag", 4, "torsdag", 5, "fredag", 6, "lørdag", 7, "søndag"),0)</f>
        <v>kristi himmelfart</v>
      </c>
      <c r="D22" s="29">
        <f t="shared" si="0"/>
        <v>5</v>
      </c>
      <c r="E22" s="70">
        <f t="shared" si="3"/>
        <v>46156</v>
      </c>
      <c r="F22" s="10" t="s">
        <v>23</v>
      </c>
      <c r="G22" s="12">
        <f>IF(OR(AND(F22="N",NOT(OR(C22="mandag",C22="tirsdag",C22="onsdag",C22="torsdag",C22="fredag"))),F22="F"),0,
        IF(OR(
            AND(Masterdata!$B$4&lt;&gt;DATE(1900,1,0), Masterdata!$B$4&lt;$E22),
            AND(Masterdata!$B$3&lt;&gt;DATE(1900,1,0), Masterdata!$B$3&gt;$E22)
        ),
        0, $X$7/(5-H22)))</f>
        <v>0</v>
      </c>
      <c r="H22" s="86">
        <f>SUMPRODUCT(COUNTIFS(April!$A$9:$A$39,$A22,April!$D$9:$D$39,"&lt;7",April!$F$9:$F$39,"F")+COUNTIFS($A$9:$A$38,$A22,$D$9:$D$38,"&lt;7",$F$9:$F$38,"F")+COUNTIFS(Juni!$A$9:$A$39,$A22,Juni!$D$9:$D$39,"&lt;7",Juni!$F$9:$F$39,"F"))</f>
        <v>0</v>
      </c>
      <c r="I22" s="11">
        <v>0</v>
      </c>
      <c r="J22" s="11">
        <v>0</v>
      </c>
      <c r="K22" s="11">
        <v>0</v>
      </c>
      <c r="L22" s="26" t="str">
        <f t="shared" si="12"/>
        <v>00:00</v>
      </c>
      <c r="M22" s="26" t="str">
        <f>IF(OR(F22="N",F22="F"),"0:00",
IF(
OR(
AND(Masterdata!$B$4&lt;&gt;DATE(1900,1,0),Masterdata!$B$4&lt;$E22),
AND(Masterdata!$B$3&lt;&gt;DATE(1900,1,0),Masterdata!$B$3&gt;$E22)
),"0:00",
IF(
$I22&gt;TIME(0,0,0),
IF(
NOT(OR($C22="mandag",$C22="tirsdag",$C22="onsdag",$C22="torsdag",$C22="fredag")),
TEXT($I22,"[tt]:mm"),
IF($I22-$G22&gt;=0,TEXT($I22-$G22,"[tt]:mm"),"-"&amp;TEXT(ABS($I22-$G22),"[tt]:mm"))
),
IF(
NOT(OR($C22="mandag",$C22="tirsdag",$C22="onsdag",$C22="torsdag",$C22="fredag")),
IF($K22-$J22&gt;=0,TEXT($K22-$J22,"[tt]:mm"),"-"&amp;TEXT(ABS($K22-$J22),"[tt]:mm")),
IF(
$K22-$J22-$G22&gt;=0,
TEXT($K22-$J22-$G22,"[tt]:mm"),
"-"&amp;TEXT(ABS($K22-$J22-$G22),"[tt]:mm")
)
)
)
))</f>
        <v>0:00</v>
      </c>
      <c r="N22" s="71" t="str">
        <f t="shared" ref="N22:N39" si="13">LEFT(M22,1)</f>
        <v>0</v>
      </c>
      <c r="O22" s="25" t="str">
        <f t="shared" si="5"/>
        <v>0:</v>
      </c>
      <c r="P22" s="52" t="str">
        <f t="shared" si="6"/>
        <v>0</v>
      </c>
      <c r="Q22" s="53">
        <f t="shared" si="10"/>
        <v>0</v>
      </c>
      <c r="R22" s="30">
        <f t="shared" ref="R22:R39" si="14">IF(N22="-",O22-Q22,O22+Q22)</f>
        <v>0</v>
      </c>
      <c r="S22" s="98"/>
      <c r="T22" s="98"/>
      <c r="U22" s="29"/>
      <c r="V22" s="29"/>
      <c r="W22" s="29" t="s">
        <v>124</v>
      </c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</row>
    <row r="23" spans="1:45" x14ac:dyDescent="0.3">
      <c r="A23" s="7">
        <f t="shared" si="2"/>
        <v>20</v>
      </c>
      <c r="B23" s="8">
        <f t="shared" si="9"/>
        <v>46157</v>
      </c>
      <c r="C23" s="9" t="str" cm="1">
        <f t="array" ref="C23">_xlfn.XLOOKUP(E23,Masterdata!$B$31:$B$44,Masterdata!$A$31:$A$44,_xlfn.SWITCH(WEEKDAY($D23, 2), 1, "mandag", 2, "tirsdag", 3, "onsdag", 4, "torsdag", 5, "fredag", 6, "lørdag", 7, "søndag"),0)</f>
        <v>fredag</v>
      </c>
      <c r="D23" s="29">
        <f t="shared" si="0"/>
        <v>6</v>
      </c>
      <c r="E23" s="70">
        <f t="shared" si="3"/>
        <v>46157</v>
      </c>
      <c r="F23" s="10" t="s">
        <v>23</v>
      </c>
      <c r="G23" s="12">
        <f>IF(OR(AND(F23="N",NOT(OR(C23="mandag",C23="tirsdag",C23="onsdag",C23="torsdag",C23="fredag"))),F23="F"),0,
        IF(OR(
            AND(Masterdata!$B$4&lt;&gt;DATE(1900,1,0), Masterdata!$B$4&lt;$E23),
            AND(Masterdata!$B$3&lt;&gt;DATE(1900,1,0), Masterdata!$B$3&gt;$E23)
        ),
        0, $X$7/(5-H23)))</f>
        <v>0.30833333333333335</v>
      </c>
      <c r="H23" s="86">
        <f>SUMPRODUCT(COUNTIFS(April!$A$9:$A$39,$A23,April!$D$9:$D$39,"&lt;7",April!$F$9:$F$39,"F")+COUNTIFS($A$9:$A$38,$A23,$D$9:$D$38,"&lt;7",$F$9:$F$38,"F")+COUNTIFS(Juni!$A$9:$A$39,$A23,Juni!$D$9:$D$39,"&lt;7",Juni!$F$9:$F$39,"F"))</f>
        <v>0</v>
      </c>
      <c r="I23" s="11">
        <v>0</v>
      </c>
      <c r="J23" s="11">
        <v>0</v>
      </c>
      <c r="K23" s="11">
        <v>0</v>
      </c>
      <c r="L23" s="26" t="str">
        <f t="shared" si="12"/>
        <v>07:24</v>
      </c>
      <c r="M23" s="26" t="str">
        <f>IF(OR(F23="N",F23="F"),"0:00",
IF(
OR(
AND(Masterdata!$B$4&lt;&gt;DATE(1900,1,0),Masterdata!$B$4&lt;$E23),
AND(Masterdata!$B$3&lt;&gt;DATE(1900,1,0),Masterdata!$B$3&gt;$E23)
),"0:00",
IF(
$I23&gt;TIME(0,0,0),
IF(
NOT(OR($C23="mandag",$C23="tirsdag",$C23="onsdag",$C23="torsdag",$C23="fredag")),
TEXT($I23,"[tt]:mm"),
IF($I23-$G23&gt;=0,TEXT($I23-$G23,"[tt]:mm"),"-"&amp;TEXT(ABS($I23-$G23),"[tt]:mm"))
),
IF(
NOT(OR($C23="mandag",$C23="tirsdag",$C23="onsdag",$C23="torsdag",$C23="fredag")),
IF($K23-$J23&gt;=0,TEXT($K23-$J23,"[tt]:mm"),"-"&amp;TEXT(ABS($K23-$J23),"[tt]:mm")),
IF(
$K23-$J23-$G23&gt;=0,
TEXT($K23-$J23-$G23,"[tt]:mm"),
"-"&amp;TEXT(ABS($K23-$J23-$G23),"[tt]:mm")
)
)
)
))</f>
        <v>0:00</v>
      </c>
      <c r="N23" s="71" t="str">
        <f t="shared" si="13"/>
        <v>0</v>
      </c>
      <c r="O23" s="25" t="str">
        <f t="shared" si="5"/>
        <v>0:</v>
      </c>
      <c r="P23" s="52" t="str">
        <f t="shared" si="6"/>
        <v>0</v>
      </c>
      <c r="Q23" s="53">
        <f t="shared" si="10"/>
        <v>0</v>
      </c>
      <c r="R23" s="30">
        <f t="shared" si="14"/>
        <v>0</v>
      </c>
      <c r="S23" s="98"/>
      <c r="T23" s="98"/>
      <c r="U23" s="29"/>
      <c r="V23" s="29"/>
      <c r="W23" s="29" t="s">
        <v>125</v>
      </c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</row>
    <row r="24" spans="1:45" x14ac:dyDescent="0.3">
      <c r="A24" s="7">
        <f t="shared" si="2"/>
        <v>20</v>
      </c>
      <c r="B24" s="8">
        <f t="shared" si="9"/>
        <v>46158</v>
      </c>
      <c r="C24" s="9" t="str" cm="1">
        <f t="array" ref="C24">_xlfn.XLOOKUP(E24,Masterdata!$B$31:$B$44,Masterdata!$A$31:$A$44,_xlfn.SWITCH(WEEKDAY($D24, 2), 1, "mandag", 2, "tirsdag", 3, "onsdag", 4, "torsdag", 5, "fredag", 6, "lørdag", 7, "søndag"),0)</f>
        <v>lørdag</v>
      </c>
      <c r="D24" s="29">
        <f t="shared" si="0"/>
        <v>7</v>
      </c>
      <c r="E24" s="70">
        <f t="shared" si="3"/>
        <v>46158</v>
      </c>
      <c r="F24" s="10" t="s">
        <v>23</v>
      </c>
      <c r="G24" s="12">
        <f>IF(OR(AND(F24="N",NOT(OR(C24="mandag",C24="tirsdag",C24="onsdag",C24="torsdag",C24="fredag"))),F24="F"),0,
        IF(OR(
            AND(Masterdata!$B$4&lt;&gt;DATE(1900,1,0), Masterdata!$B$4&lt;$E24),
            AND(Masterdata!$B$3&lt;&gt;DATE(1900,1,0), Masterdata!$B$3&gt;$E24)
        ),
        0, $X$7/(5-H24)))</f>
        <v>0</v>
      </c>
      <c r="H24" s="86">
        <f>SUMPRODUCT(COUNTIFS(April!$A$9:$A$39,$A24,April!$D$9:$D$39,"&lt;7",April!$F$9:$F$39,"F")+COUNTIFS($A$9:$A$38,$A24,$D$9:$D$38,"&lt;7",$F$9:$F$38,"F")+COUNTIFS(Juni!$A$9:$A$39,$A24,Juni!$D$9:$D$39,"&lt;7",Juni!$F$9:$F$39,"F"))</f>
        <v>0</v>
      </c>
      <c r="I24" s="11">
        <v>0</v>
      </c>
      <c r="J24" s="11">
        <v>0</v>
      </c>
      <c r="K24" s="11">
        <v>0</v>
      </c>
      <c r="L24" s="26" t="str">
        <f t="shared" si="12"/>
        <v>00:00</v>
      </c>
      <c r="M24" s="26" t="str">
        <f>IF(OR(F24="N",F24="F"),"0:00",
IF(
OR(
AND(Masterdata!$B$4&lt;&gt;DATE(1900,1,0),Masterdata!$B$4&lt;$E24),
AND(Masterdata!$B$3&lt;&gt;DATE(1900,1,0),Masterdata!$B$3&gt;$E24)
),"0:00",
IF(
$I24&gt;TIME(0,0,0),
IF(
NOT(OR($C24="mandag",$C24="tirsdag",$C24="onsdag",$C24="torsdag",$C24="fredag")),
TEXT($I24,"[tt]:mm"),
IF($I24-$G24&gt;=0,TEXT($I24-$G24,"[tt]:mm"),"-"&amp;TEXT(ABS($I24-$G24),"[tt]:mm"))
),
IF(
NOT(OR($C24="mandag",$C24="tirsdag",$C24="onsdag",$C24="torsdag",$C24="fredag")),
IF($K24-$J24&gt;=0,TEXT($K24-$J24,"[tt]:mm"),"-"&amp;TEXT(ABS($K24-$J24),"[tt]:mm")),
IF(
$K24-$J24-$G24&gt;=0,
TEXT($K24-$J24-$G24,"[tt]:mm"),
"-"&amp;TEXT(ABS($K24-$J24-$G24),"[tt]:mm")
)
)
)
))</f>
        <v>0:00</v>
      </c>
      <c r="N24" s="71" t="str">
        <f t="shared" si="13"/>
        <v>0</v>
      </c>
      <c r="O24" s="25" t="str">
        <f t="shared" si="5"/>
        <v>0:</v>
      </c>
      <c r="P24" s="52" t="str">
        <f t="shared" si="6"/>
        <v>0</v>
      </c>
      <c r="Q24" s="53">
        <f t="shared" si="10"/>
        <v>0</v>
      </c>
      <c r="R24" s="30">
        <f t="shared" si="14"/>
        <v>0</v>
      </c>
      <c r="S24" s="98"/>
      <c r="T24" s="98"/>
      <c r="U24" s="29"/>
      <c r="V24" s="29"/>
      <c r="W24" s="29" t="s">
        <v>126</v>
      </c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</row>
    <row r="25" spans="1:45" x14ac:dyDescent="0.3">
      <c r="A25" s="7">
        <f t="shared" si="2"/>
        <v>20</v>
      </c>
      <c r="B25" s="8">
        <f t="shared" si="9"/>
        <v>46159</v>
      </c>
      <c r="C25" s="9" t="str" cm="1">
        <f t="array" ref="C25">_xlfn.XLOOKUP(E25,Masterdata!$B$31:$B$44,Masterdata!$A$31:$A$44,_xlfn.SWITCH(WEEKDAY($D25, 2), 1, "mandag", 2, "tirsdag", 3, "onsdag", 4, "torsdag", 5, "fredag", 6, "lørdag", 7, "søndag"),0)</f>
        <v>søndag</v>
      </c>
      <c r="D25" s="29">
        <f t="shared" si="0"/>
        <v>8</v>
      </c>
      <c r="E25" s="70">
        <f t="shared" si="3"/>
        <v>46159</v>
      </c>
      <c r="F25" s="10" t="s">
        <v>23</v>
      </c>
      <c r="G25" s="12">
        <f>IF(OR(AND(F25="N",NOT(OR(C25="mandag",C25="tirsdag",C25="onsdag",C25="torsdag",C25="fredag"))),F25="F"),0,
        IF(OR(
            AND(Masterdata!$B$4&lt;&gt;DATE(1900,1,0), Masterdata!$B$4&lt;$E25),
            AND(Masterdata!$B$3&lt;&gt;DATE(1900,1,0), Masterdata!$B$3&gt;$E25)
        ),
        0, $X$7/(5-H25)))</f>
        <v>0</v>
      </c>
      <c r="H25" s="86">
        <f>SUMPRODUCT(COUNTIFS(April!$A$9:$A$39,$A25,April!$D$9:$D$39,"&lt;7",April!$F$9:$F$39,"F")+COUNTIFS($A$9:$A$38,$A25,$D$9:$D$38,"&lt;7",$F$9:$F$38,"F")+COUNTIFS(Juni!$A$9:$A$39,$A25,Juni!$D$9:$D$39,"&lt;7",Juni!$F$9:$F$39,"F"))</f>
        <v>0</v>
      </c>
      <c r="I25" s="11">
        <v>0</v>
      </c>
      <c r="J25" s="11">
        <v>0</v>
      </c>
      <c r="K25" s="11">
        <v>0</v>
      </c>
      <c r="L25" s="26" t="str">
        <f t="shared" si="12"/>
        <v>00:00</v>
      </c>
      <c r="M25" s="26" t="str">
        <f>IF(OR(F25="N",F25="F"),"0:00",
IF(
OR(
AND(Masterdata!$B$4&lt;&gt;DATE(1900,1,0),Masterdata!$B$4&lt;$E25),
AND(Masterdata!$B$3&lt;&gt;DATE(1900,1,0),Masterdata!$B$3&gt;$E25)
),"0:00",
IF(
$I25&gt;TIME(0,0,0),
IF(
NOT(OR($C25="mandag",$C25="tirsdag",$C25="onsdag",$C25="torsdag",$C25="fredag")),
TEXT($I25,"[tt]:mm"),
IF($I25-$G25&gt;=0,TEXT($I25-$G25,"[tt]:mm"),"-"&amp;TEXT(ABS($I25-$G25),"[tt]:mm"))
),
IF(
NOT(OR($C25="mandag",$C25="tirsdag",$C25="onsdag",$C25="torsdag",$C25="fredag")),
IF($K25-$J25&gt;=0,TEXT($K25-$J25,"[tt]:mm"),"-"&amp;TEXT(ABS($K25-$J25),"[tt]:mm")),
IF(
$K25-$J25-$G25&gt;=0,
TEXT($K25-$J25-$G25,"[tt]:mm"),
"-"&amp;TEXT(ABS($K25-$J25-$G25),"[tt]:mm")
)
)
)
))</f>
        <v>0:00</v>
      </c>
      <c r="N25" s="71" t="str">
        <f t="shared" si="13"/>
        <v>0</v>
      </c>
      <c r="O25" s="25" t="str">
        <f t="shared" si="5"/>
        <v>0:</v>
      </c>
      <c r="P25" s="52" t="str">
        <f t="shared" si="6"/>
        <v>0</v>
      </c>
      <c r="Q25" s="53">
        <f t="shared" si="10"/>
        <v>0</v>
      </c>
      <c r="R25" s="30">
        <f t="shared" si="14"/>
        <v>0</v>
      </c>
      <c r="S25" s="98"/>
      <c r="T25" s="98"/>
      <c r="U25" s="29"/>
      <c r="V25" s="29"/>
      <c r="W25" s="29" t="s">
        <v>127</v>
      </c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</row>
    <row r="26" spans="1:45" x14ac:dyDescent="0.3">
      <c r="A26" s="7">
        <f t="shared" si="2"/>
        <v>21</v>
      </c>
      <c r="B26" s="8">
        <f t="shared" si="9"/>
        <v>46160</v>
      </c>
      <c r="C26" s="9" t="str" cm="1">
        <f t="array" ref="C26">_xlfn.XLOOKUP(E26,Masterdata!$B$31:$B$44,Masterdata!$A$31:$A$44,_xlfn.SWITCH(WEEKDAY($D26, 2), 1, "mandag", 2, "tirsdag", 3, "onsdag", 4, "torsdag", 5, "fredag", 6, "lørdag", 7, "søndag"),0)</f>
        <v>mandag</v>
      </c>
      <c r="D26" s="29">
        <f t="shared" si="0"/>
        <v>2</v>
      </c>
      <c r="E26" s="70">
        <f t="shared" si="3"/>
        <v>46160</v>
      </c>
      <c r="F26" s="10" t="s">
        <v>23</v>
      </c>
      <c r="G26" s="12">
        <f>IF(OR(AND(F26="N",NOT(OR(C26="mandag",C26="tirsdag",C26="onsdag",C26="torsdag",C26="fredag"))),F26="F"),0,
        IF(OR(
            AND(Masterdata!$B$4&lt;&gt;DATE(1900,1,0), Masterdata!$B$4&lt;$E26),
            AND(Masterdata!$B$3&lt;&gt;DATE(1900,1,0), Masterdata!$B$3&gt;$E26)
        ),
        0, $X$7/(5-H26)))</f>
        <v>0.30833333333333335</v>
      </c>
      <c r="H26" s="86">
        <f>SUMPRODUCT(COUNTIFS(April!$A$9:$A$39,$A26,April!$D$9:$D$39,"&lt;7",April!$F$9:$F$39,"F")+COUNTIFS($A$9:$A$38,$A26,$D$9:$D$38,"&lt;7",$F$9:$F$38,"F")+COUNTIFS(Juni!$A$9:$A$39,$A26,Juni!$D$9:$D$39,"&lt;7",Juni!$F$9:$F$39,"F"))</f>
        <v>0</v>
      </c>
      <c r="I26" s="11">
        <v>0</v>
      </c>
      <c r="J26" s="11">
        <v>0</v>
      </c>
      <c r="K26" s="11">
        <v>0</v>
      </c>
      <c r="L26" s="26" t="str">
        <f t="shared" si="12"/>
        <v>07:24</v>
      </c>
      <c r="M26" s="26" t="str">
        <f>IF(OR(F26="N",F26="F"),"0:00",
IF(
OR(
AND(Masterdata!$B$4&lt;&gt;DATE(1900,1,0),Masterdata!$B$4&lt;$E26),
AND(Masterdata!$B$3&lt;&gt;DATE(1900,1,0),Masterdata!$B$3&gt;$E26)
),"0:00",
IF(
$I26&gt;TIME(0,0,0),
IF(
NOT(OR($C26="mandag",$C26="tirsdag",$C26="onsdag",$C26="torsdag",$C26="fredag")),
TEXT($I26,"[tt]:mm"),
IF($I26-$G26&gt;=0,TEXT($I26-$G26,"[tt]:mm"),"-"&amp;TEXT(ABS($I26-$G26),"[tt]:mm"))
),
IF(
NOT(OR($C26="mandag",$C26="tirsdag",$C26="onsdag",$C26="torsdag",$C26="fredag")),
IF($K26-$J26&gt;=0,TEXT($K26-$J26,"[tt]:mm"),"-"&amp;TEXT(ABS($K26-$J26),"[tt]:mm")),
IF(
$K26-$J26-$G26&gt;=0,
TEXT($K26-$J26-$G26,"[tt]:mm"),
"-"&amp;TEXT(ABS($K26-$J26-$G26),"[tt]:mm")
)
)
)
))</f>
        <v>0:00</v>
      </c>
      <c r="N26" s="71" t="str">
        <f t="shared" si="13"/>
        <v>0</v>
      </c>
      <c r="O26" s="25" t="str">
        <f t="shared" si="5"/>
        <v>0:</v>
      </c>
      <c r="P26" s="52" t="str">
        <f t="shared" si="6"/>
        <v>0</v>
      </c>
      <c r="Q26" s="53">
        <f t="shared" si="10"/>
        <v>0</v>
      </c>
      <c r="R26" s="30">
        <f t="shared" si="14"/>
        <v>0</v>
      </c>
      <c r="S26" s="98"/>
      <c r="T26" s="98"/>
      <c r="U26" s="29"/>
      <c r="V26" s="29"/>
      <c r="W26" s="29" t="s">
        <v>128</v>
      </c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</row>
    <row r="27" spans="1:45" x14ac:dyDescent="0.3">
      <c r="A27" s="7">
        <f t="shared" si="2"/>
        <v>21</v>
      </c>
      <c r="B27" s="8">
        <f t="shared" si="9"/>
        <v>46161</v>
      </c>
      <c r="C27" s="9" t="str" cm="1">
        <f t="array" ref="C27">_xlfn.XLOOKUP(E27,Masterdata!$B$31:$B$44,Masterdata!$A$31:$A$44,_xlfn.SWITCH(WEEKDAY($D27, 2), 1, "mandag", 2, "tirsdag", 3, "onsdag", 4, "torsdag", 5, "fredag", 6, "lørdag", 7, "søndag"),0)</f>
        <v>tirsdag</v>
      </c>
      <c r="D27" s="29">
        <f t="shared" si="0"/>
        <v>3</v>
      </c>
      <c r="E27" s="70">
        <f t="shared" si="3"/>
        <v>46161</v>
      </c>
      <c r="F27" s="10" t="s">
        <v>23</v>
      </c>
      <c r="G27" s="12">
        <f>IF(OR(AND(F27="N",NOT(OR(C27="mandag",C27="tirsdag",C27="onsdag",C27="torsdag",C27="fredag"))),F27="F"),0,
        IF(OR(
            AND(Masterdata!$B$4&lt;&gt;DATE(1900,1,0), Masterdata!$B$4&lt;$E27),
            AND(Masterdata!$B$3&lt;&gt;DATE(1900,1,0), Masterdata!$B$3&gt;$E27)
        ),
        0, $X$7/(5-H27)))</f>
        <v>0.30833333333333335</v>
      </c>
      <c r="H27" s="86">
        <f>SUMPRODUCT(COUNTIFS(April!$A$9:$A$39,$A27,April!$D$9:$D$39,"&lt;7",April!$F$9:$F$39,"F")+COUNTIFS($A$9:$A$38,$A27,$D$9:$D$38,"&lt;7",$F$9:$F$38,"F")+COUNTIFS(Juni!$A$9:$A$39,$A27,Juni!$D$9:$D$39,"&lt;7",Juni!$F$9:$F$39,"F"))</f>
        <v>0</v>
      </c>
      <c r="I27" s="11">
        <v>0</v>
      </c>
      <c r="J27" s="11">
        <v>0</v>
      </c>
      <c r="K27" s="11">
        <v>0</v>
      </c>
      <c r="L27" s="26" t="str">
        <f t="shared" si="12"/>
        <v>07:24</v>
      </c>
      <c r="M27" s="26" t="str">
        <f>IF(OR(F27="N",F27="F"),"0:00",
IF(
OR(
AND(Masterdata!$B$4&lt;&gt;DATE(1900,1,0),Masterdata!$B$4&lt;$E27),
AND(Masterdata!$B$3&lt;&gt;DATE(1900,1,0),Masterdata!$B$3&gt;$E27)
),"0:00",
IF(
$I27&gt;TIME(0,0,0),
IF(
NOT(OR($C27="mandag",$C27="tirsdag",$C27="onsdag",$C27="torsdag",$C27="fredag")),
TEXT($I27,"[tt]:mm"),
IF($I27-$G27&gt;=0,TEXT($I27-$G27,"[tt]:mm"),"-"&amp;TEXT(ABS($I27-$G27),"[tt]:mm"))
),
IF(
NOT(OR($C27="mandag",$C27="tirsdag",$C27="onsdag",$C27="torsdag",$C27="fredag")),
IF($K27-$J27&gt;=0,TEXT($K27-$J27,"[tt]:mm"),"-"&amp;TEXT(ABS($K27-$J27),"[tt]:mm")),
IF(
$K27-$J27-$G27&gt;=0,
TEXT($K27-$J27-$G27,"[tt]:mm"),
"-"&amp;TEXT(ABS($K27-$J27-$G27),"[tt]:mm")
)
)
)
))</f>
        <v>0:00</v>
      </c>
      <c r="N27" s="71" t="str">
        <f t="shared" si="13"/>
        <v>0</v>
      </c>
      <c r="O27" s="25" t="str">
        <f t="shared" si="5"/>
        <v>0:</v>
      </c>
      <c r="P27" s="52" t="str">
        <f t="shared" si="6"/>
        <v>0</v>
      </c>
      <c r="Q27" s="53">
        <f t="shared" si="10"/>
        <v>0</v>
      </c>
      <c r="R27" s="30">
        <f t="shared" si="14"/>
        <v>0</v>
      </c>
      <c r="S27" s="98"/>
      <c r="T27" s="98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</row>
    <row r="28" spans="1:45" x14ac:dyDescent="0.3">
      <c r="A28" s="7">
        <f t="shared" si="2"/>
        <v>21</v>
      </c>
      <c r="B28" s="8">
        <f t="shared" si="9"/>
        <v>46162</v>
      </c>
      <c r="C28" s="9" t="str" cm="1">
        <f t="array" ref="C28">_xlfn.XLOOKUP(E28,Masterdata!$B$31:$B$44,Masterdata!$A$31:$A$44,_xlfn.SWITCH(WEEKDAY($D28, 2), 1, "mandag", 2, "tirsdag", 3, "onsdag", 4, "torsdag", 5, "fredag", 6, "lørdag", 7, "søndag"),0)</f>
        <v>onsdag</v>
      </c>
      <c r="D28" s="29">
        <f t="shared" si="0"/>
        <v>4</v>
      </c>
      <c r="E28" s="70">
        <f t="shared" si="3"/>
        <v>46162</v>
      </c>
      <c r="F28" s="10" t="s">
        <v>23</v>
      </c>
      <c r="G28" s="12">
        <f>IF(OR(AND(F28="N",NOT(OR(C28="mandag",C28="tirsdag",C28="onsdag",C28="torsdag",C28="fredag"))),F28="F"),0,
        IF(OR(
            AND(Masterdata!$B$4&lt;&gt;DATE(1900,1,0), Masterdata!$B$4&lt;$E28),
            AND(Masterdata!$B$3&lt;&gt;DATE(1900,1,0), Masterdata!$B$3&gt;$E28)
        ),
        0, $X$7/(5-H28)))</f>
        <v>0.30833333333333335</v>
      </c>
      <c r="H28" s="86">
        <f>SUMPRODUCT(COUNTIFS(April!$A$9:$A$39,$A28,April!$D$9:$D$39,"&lt;7",April!$F$9:$F$39,"F")+COUNTIFS($A$9:$A$38,$A28,$D$9:$D$38,"&lt;7",$F$9:$F$38,"F")+COUNTIFS(Juni!$A$9:$A$39,$A28,Juni!$D$9:$D$39,"&lt;7",Juni!$F$9:$F$39,"F"))</f>
        <v>0</v>
      </c>
      <c r="I28" s="11">
        <v>0</v>
      </c>
      <c r="J28" s="11">
        <v>0</v>
      </c>
      <c r="K28" s="11">
        <v>0</v>
      </c>
      <c r="L28" s="26" t="str">
        <f t="shared" si="12"/>
        <v>07:24</v>
      </c>
      <c r="M28" s="26" t="str">
        <f>IF(OR(F28="N",F28="F"),"0:00",
IF(
OR(
AND(Masterdata!$B$4&lt;&gt;DATE(1900,1,0),Masterdata!$B$4&lt;$E28),
AND(Masterdata!$B$3&lt;&gt;DATE(1900,1,0),Masterdata!$B$3&gt;$E28)
),"0:00",
IF(
$I28&gt;TIME(0,0,0),
IF(
NOT(OR($C28="mandag",$C28="tirsdag",$C28="onsdag",$C28="torsdag",$C28="fredag")),
TEXT($I28,"[tt]:mm"),
IF($I28-$G28&gt;=0,TEXT($I28-$G28,"[tt]:mm"),"-"&amp;TEXT(ABS($I28-$G28),"[tt]:mm"))
),
IF(
NOT(OR($C28="mandag",$C28="tirsdag",$C28="onsdag",$C28="torsdag",$C28="fredag")),
IF($K28-$J28&gt;=0,TEXT($K28-$J28,"[tt]:mm"),"-"&amp;TEXT(ABS($K28-$J28),"[tt]:mm")),
IF(
$K28-$J28-$G28&gt;=0,
TEXT($K28-$J28-$G28,"[tt]:mm"),
"-"&amp;TEXT(ABS($K28-$J28-$G28),"[tt]:mm")
)
)
)
))</f>
        <v>0:00</v>
      </c>
      <c r="N28" s="71" t="str">
        <f t="shared" si="13"/>
        <v>0</v>
      </c>
      <c r="O28" s="25" t="str">
        <f t="shared" si="5"/>
        <v>0:</v>
      </c>
      <c r="P28" s="52" t="str">
        <f t="shared" si="6"/>
        <v>0</v>
      </c>
      <c r="Q28" s="53">
        <f t="shared" si="10"/>
        <v>0</v>
      </c>
      <c r="R28" s="30">
        <f t="shared" si="14"/>
        <v>0</v>
      </c>
      <c r="S28" s="98"/>
      <c r="T28" s="98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</row>
    <row r="29" spans="1:45" x14ac:dyDescent="0.3">
      <c r="A29" s="7">
        <f t="shared" si="2"/>
        <v>21</v>
      </c>
      <c r="B29" s="8">
        <f t="shared" si="9"/>
        <v>46163</v>
      </c>
      <c r="C29" s="9" t="str" cm="1">
        <f t="array" ref="C29">_xlfn.XLOOKUP(E29,Masterdata!$B$31:$B$44,Masterdata!$A$31:$A$44,_xlfn.SWITCH(WEEKDAY($D29, 2), 1, "mandag", 2, "tirsdag", 3, "onsdag", 4, "torsdag", 5, "fredag", 6, "lørdag", 7, "søndag"),0)</f>
        <v>torsdag</v>
      </c>
      <c r="D29" s="29">
        <f t="shared" si="0"/>
        <v>5</v>
      </c>
      <c r="E29" s="70">
        <f t="shared" si="3"/>
        <v>46163</v>
      </c>
      <c r="F29" s="10" t="s">
        <v>23</v>
      </c>
      <c r="G29" s="12">
        <f>IF(OR(AND(F29="N",NOT(OR(C29="mandag",C29="tirsdag",C29="onsdag",C29="torsdag",C29="fredag"))),F29="F"),0,
        IF(OR(
            AND(Masterdata!$B$4&lt;&gt;DATE(1900,1,0), Masterdata!$B$4&lt;$E29),
            AND(Masterdata!$B$3&lt;&gt;DATE(1900,1,0), Masterdata!$B$3&gt;$E29)
        ),
        0, $X$7/(5-H29)))</f>
        <v>0.30833333333333335</v>
      </c>
      <c r="H29" s="86">
        <f>SUMPRODUCT(COUNTIFS(April!$A$9:$A$39,$A29,April!$D$9:$D$39,"&lt;7",April!$F$9:$F$39,"F")+COUNTIFS($A$9:$A$38,$A29,$D$9:$D$38,"&lt;7",$F$9:$F$38,"F")+COUNTIFS(Juni!$A$9:$A$39,$A29,Juni!$D$9:$D$39,"&lt;7",Juni!$F$9:$F$39,"F"))</f>
        <v>0</v>
      </c>
      <c r="I29" s="11">
        <v>0</v>
      </c>
      <c r="J29" s="11">
        <v>0</v>
      </c>
      <c r="K29" s="11">
        <v>0</v>
      </c>
      <c r="L29" s="26" t="str">
        <f t="shared" si="12"/>
        <v>07:24</v>
      </c>
      <c r="M29" s="26" t="str">
        <f>IF(OR(F29="N",F29="F"),"0:00",
IF(
OR(
AND(Masterdata!$B$4&lt;&gt;DATE(1900,1,0),Masterdata!$B$4&lt;$E29),
AND(Masterdata!$B$3&lt;&gt;DATE(1900,1,0),Masterdata!$B$3&gt;$E29)
),"0:00",
IF(
$I29&gt;TIME(0,0,0),
IF(
NOT(OR($C29="mandag",$C29="tirsdag",$C29="onsdag",$C29="torsdag",$C29="fredag")),
TEXT($I29,"[tt]:mm"),
IF($I29-$G29&gt;=0,TEXT($I29-$G29,"[tt]:mm"),"-"&amp;TEXT(ABS($I29-$G29),"[tt]:mm"))
),
IF(
NOT(OR($C29="mandag",$C29="tirsdag",$C29="onsdag",$C29="torsdag",$C29="fredag")),
IF($K29-$J29&gt;=0,TEXT($K29-$J29,"[tt]:mm"),"-"&amp;TEXT(ABS($K29-$J29),"[tt]:mm")),
IF(
$K29-$J29-$G29&gt;=0,
TEXT($K29-$J29-$G29,"[tt]:mm"),
"-"&amp;TEXT(ABS($K29-$J29-$G29),"[tt]:mm")
)
)
)
))</f>
        <v>0:00</v>
      </c>
      <c r="N29" s="71" t="str">
        <f t="shared" si="13"/>
        <v>0</v>
      </c>
      <c r="O29" s="25" t="str">
        <f t="shared" si="5"/>
        <v>0:</v>
      </c>
      <c r="P29" s="52" t="str">
        <f t="shared" si="6"/>
        <v>0</v>
      </c>
      <c r="Q29" s="53">
        <f t="shared" si="10"/>
        <v>0</v>
      </c>
      <c r="R29" s="30">
        <f t="shared" si="14"/>
        <v>0</v>
      </c>
      <c r="S29" s="98"/>
      <c r="T29" s="98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</row>
    <row r="30" spans="1:45" x14ac:dyDescent="0.3">
      <c r="A30" s="7">
        <f t="shared" si="2"/>
        <v>21</v>
      </c>
      <c r="B30" s="8">
        <f t="shared" si="9"/>
        <v>46164</v>
      </c>
      <c r="C30" s="9" t="str" cm="1">
        <f t="array" ref="C30">_xlfn.XLOOKUP(E30,Masterdata!$B$31:$B$44,Masterdata!$A$31:$A$44,_xlfn.SWITCH(WEEKDAY($D30, 2), 1, "mandag", 2, "tirsdag", 3, "onsdag", 4, "torsdag", 5, "fredag", 6, "lørdag", 7, "søndag"),0)</f>
        <v>fredag</v>
      </c>
      <c r="D30" s="29">
        <f t="shared" si="0"/>
        <v>6</v>
      </c>
      <c r="E30" s="70">
        <f t="shared" si="3"/>
        <v>46164</v>
      </c>
      <c r="F30" s="10" t="s">
        <v>23</v>
      </c>
      <c r="G30" s="12">
        <f>IF(OR(AND(F30="N",NOT(OR(C30="mandag",C30="tirsdag",C30="onsdag",C30="torsdag",C30="fredag"))),F30="F"),0,
        IF(OR(
            AND(Masterdata!$B$4&lt;&gt;DATE(1900,1,0), Masterdata!$B$4&lt;$E30),
            AND(Masterdata!$B$3&lt;&gt;DATE(1900,1,0), Masterdata!$B$3&gt;$E30)
        ),
        0, $X$7/(5-H30)))</f>
        <v>0.30833333333333335</v>
      </c>
      <c r="H30" s="86">
        <f>SUMPRODUCT(COUNTIFS(April!$A$9:$A$39,$A30,April!$D$9:$D$39,"&lt;7",April!$F$9:$F$39,"F")+COUNTIFS($A$9:$A$38,$A30,$D$9:$D$38,"&lt;7",$F$9:$F$38,"F")+COUNTIFS(Juni!$A$9:$A$39,$A30,Juni!$D$9:$D$39,"&lt;7",Juni!$F$9:$F$39,"F"))</f>
        <v>0</v>
      </c>
      <c r="I30" s="11">
        <v>0</v>
      </c>
      <c r="J30" s="11">
        <v>0</v>
      </c>
      <c r="K30" s="11">
        <v>0</v>
      </c>
      <c r="L30" s="26" t="str">
        <f t="shared" si="12"/>
        <v>07:24</v>
      </c>
      <c r="M30" s="26" t="str">
        <f>IF(OR(F30="N",F30="F"),"0:00",
IF(
OR(
AND(Masterdata!$B$4&lt;&gt;DATE(1900,1,0),Masterdata!$B$4&lt;$E30),
AND(Masterdata!$B$3&lt;&gt;DATE(1900,1,0),Masterdata!$B$3&gt;$E30)
),"0:00",
IF(
$I30&gt;TIME(0,0,0),
IF(
NOT(OR($C30="mandag",$C30="tirsdag",$C30="onsdag",$C30="torsdag",$C30="fredag")),
TEXT($I30,"[tt]:mm"),
IF($I30-$G30&gt;=0,TEXT($I30-$G30,"[tt]:mm"),"-"&amp;TEXT(ABS($I30-$G30),"[tt]:mm"))
),
IF(
NOT(OR($C30="mandag",$C30="tirsdag",$C30="onsdag",$C30="torsdag",$C30="fredag")),
IF($K30-$J30&gt;=0,TEXT($K30-$J30,"[tt]:mm"),"-"&amp;TEXT(ABS($K30-$J30),"[tt]:mm")),
IF(
$K30-$J30-$G30&gt;=0,
TEXT($K30-$J30-$G30,"[tt]:mm"),
"-"&amp;TEXT(ABS($K30-$J30-$G30),"[tt]:mm")
)
)
)
))</f>
        <v>0:00</v>
      </c>
      <c r="N30" s="71" t="str">
        <f t="shared" si="13"/>
        <v>0</v>
      </c>
      <c r="O30" s="25" t="str">
        <f t="shared" si="5"/>
        <v>0:</v>
      </c>
      <c r="P30" s="52" t="str">
        <f t="shared" si="6"/>
        <v>0</v>
      </c>
      <c r="Q30" s="53">
        <f t="shared" si="10"/>
        <v>0</v>
      </c>
      <c r="R30" s="30">
        <f t="shared" si="14"/>
        <v>0</v>
      </c>
      <c r="S30" s="98"/>
      <c r="T30" s="98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</row>
    <row r="31" spans="1:45" x14ac:dyDescent="0.3">
      <c r="A31" s="7">
        <f t="shared" si="2"/>
        <v>21</v>
      </c>
      <c r="B31" s="8">
        <f t="shared" si="9"/>
        <v>46165</v>
      </c>
      <c r="C31" s="9" t="str" cm="1">
        <f t="array" ref="C31">_xlfn.XLOOKUP(E31,Masterdata!$B$31:$B$44,Masterdata!$A$31:$A$44,_xlfn.SWITCH(WEEKDAY($D31, 2), 1, "mandag", 2, "tirsdag", 3, "onsdag", 4, "torsdag", 5, "fredag", 6, "lørdag", 7, "søndag"),0)</f>
        <v>lørdag</v>
      </c>
      <c r="D31" s="29">
        <f t="shared" si="0"/>
        <v>7</v>
      </c>
      <c r="E31" s="70">
        <f t="shared" si="3"/>
        <v>46165</v>
      </c>
      <c r="F31" s="10" t="s">
        <v>23</v>
      </c>
      <c r="G31" s="12">
        <f>IF(OR(AND(F31="N",NOT(OR(C31="mandag",C31="tirsdag",C31="onsdag",C31="torsdag",C31="fredag"))),F31="F"),0,
        IF(OR(
            AND(Masterdata!$B$4&lt;&gt;DATE(1900,1,0), Masterdata!$B$4&lt;$E31),
            AND(Masterdata!$B$3&lt;&gt;DATE(1900,1,0), Masterdata!$B$3&gt;$E31)
        ),
        0, $X$7/(5-H31)))</f>
        <v>0</v>
      </c>
      <c r="H31" s="86">
        <f>SUMPRODUCT(COUNTIFS(April!$A$9:$A$39,$A31,April!$D$9:$D$39,"&lt;7",April!$F$9:$F$39,"F")+COUNTIFS($A$9:$A$38,$A31,$D$9:$D$38,"&lt;7",$F$9:$F$38,"F")+COUNTIFS(Juni!$A$9:$A$39,$A31,Juni!$D$9:$D$39,"&lt;7",Juni!$F$9:$F$39,"F"))</f>
        <v>0</v>
      </c>
      <c r="I31" s="11">
        <v>0</v>
      </c>
      <c r="J31" s="11">
        <v>0</v>
      </c>
      <c r="K31" s="11">
        <v>0</v>
      </c>
      <c r="L31" s="26" t="str">
        <f t="shared" si="12"/>
        <v>00:00</v>
      </c>
      <c r="M31" s="26" t="str">
        <f>IF(OR(F31="N",F31="F"),"0:00",
IF(
OR(
AND(Masterdata!$B$4&lt;&gt;DATE(1900,1,0),Masterdata!$B$4&lt;$E31),
AND(Masterdata!$B$3&lt;&gt;DATE(1900,1,0),Masterdata!$B$3&gt;$E31)
),"0:00",
IF(
$I31&gt;TIME(0,0,0),
IF(
NOT(OR($C31="mandag",$C31="tirsdag",$C31="onsdag",$C31="torsdag",$C31="fredag")),
TEXT($I31,"[tt]:mm"),
IF($I31-$G31&gt;=0,TEXT($I31-$G31,"[tt]:mm"),"-"&amp;TEXT(ABS($I31-$G31),"[tt]:mm"))
),
IF(
NOT(OR($C31="mandag",$C31="tirsdag",$C31="onsdag",$C31="torsdag",$C31="fredag")),
IF($K31-$J31&gt;=0,TEXT($K31-$J31,"[tt]:mm"),"-"&amp;TEXT(ABS($K31-$J31),"[tt]:mm")),
IF(
$K31-$J31-$G31&gt;=0,
TEXT($K31-$J31-$G31,"[tt]:mm"),
"-"&amp;TEXT(ABS($K31-$J31-$G31),"[tt]:mm")
)
)
)
))</f>
        <v>0:00</v>
      </c>
      <c r="N31" s="71" t="str">
        <f t="shared" si="13"/>
        <v>0</v>
      </c>
      <c r="O31" s="25" t="str">
        <f t="shared" si="5"/>
        <v>0:</v>
      </c>
      <c r="P31" s="52" t="str">
        <f t="shared" si="6"/>
        <v>0</v>
      </c>
      <c r="Q31" s="53">
        <f t="shared" si="10"/>
        <v>0</v>
      </c>
      <c r="R31" s="30">
        <f t="shared" si="14"/>
        <v>0</v>
      </c>
      <c r="S31" s="98"/>
      <c r="T31" s="98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</row>
    <row r="32" spans="1:45" x14ac:dyDescent="0.3">
      <c r="A32" s="7">
        <f t="shared" si="2"/>
        <v>21</v>
      </c>
      <c r="B32" s="8">
        <f t="shared" si="9"/>
        <v>46166</v>
      </c>
      <c r="C32" s="9" t="str" cm="1">
        <f t="array" ref="C32">_xlfn.XLOOKUP(E32,Masterdata!$B$31:$B$44,Masterdata!$A$31:$A$44,_xlfn.SWITCH(WEEKDAY($D32, 2), 1, "mandag", 2, "tirsdag", 3, "onsdag", 4, "torsdag", 5, "fredag", 6, "lørdag", 7, "søndag"),0)</f>
        <v>pinsedag</v>
      </c>
      <c r="D32" s="29">
        <f t="shared" si="0"/>
        <v>8</v>
      </c>
      <c r="E32" s="70">
        <f t="shared" si="3"/>
        <v>46166</v>
      </c>
      <c r="F32" s="10" t="s">
        <v>23</v>
      </c>
      <c r="G32" s="12">
        <f>IF(OR(AND(F32="N",NOT(OR(C32="mandag",C32="tirsdag",C32="onsdag",C32="torsdag",C32="fredag"))),F32="F"),0,
        IF(OR(
            AND(Masterdata!$B$4&lt;&gt;DATE(1900,1,0), Masterdata!$B$4&lt;$E32),
            AND(Masterdata!$B$3&lt;&gt;DATE(1900,1,0), Masterdata!$B$3&gt;$E32)
        ),
        0, $X$7/(5-H32)))</f>
        <v>0</v>
      </c>
      <c r="H32" s="86">
        <f>SUMPRODUCT(COUNTIFS(April!$A$9:$A$39,$A32,April!$D$9:$D$39,"&lt;7",April!$F$9:$F$39,"F")+COUNTIFS($A$9:$A$38,$A32,$D$9:$D$38,"&lt;7",$F$9:$F$38,"F")+COUNTIFS(Juni!$A$9:$A$39,$A32,Juni!$D$9:$D$39,"&lt;7",Juni!$F$9:$F$39,"F"))</f>
        <v>0</v>
      </c>
      <c r="I32" s="11">
        <v>0</v>
      </c>
      <c r="J32" s="11">
        <v>0</v>
      </c>
      <c r="K32" s="11">
        <v>0</v>
      </c>
      <c r="L32" s="26" t="str">
        <f t="shared" si="12"/>
        <v>00:00</v>
      </c>
      <c r="M32" s="26" t="str">
        <f>IF(OR(F32="N",F32="F"),"0:00",
IF(
OR(
AND(Masterdata!$B$4&lt;&gt;DATE(1900,1,0),Masterdata!$B$4&lt;$E32),
AND(Masterdata!$B$3&lt;&gt;DATE(1900,1,0),Masterdata!$B$3&gt;$E32)
),"0:00",
IF(
$I32&gt;TIME(0,0,0),
IF(
NOT(OR($C32="mandag",$C32="tirsdag",$C32="onsdag",$C32="torsdag",$C32="fredag")),
TEXT($I32,"[tt]:mm"),
IF($I32-$G32&gt;=0,TEXT($I32-$G32,"[tt]:mm"),"-"&amp;TEXT(ABS($I32-$G32),"[tt]:mm"))
),
IF(
NOT(OR($C32="mandag",$C32="tirsdag",$C32="onsdag",$C32="torsdag",$C32="fredag")),
IF($K32-$J32&gt;=0,TEXT($K32-$J32,"[tt]:mm"),"-"&amp;TEXT(ABS($K32-$J32),"[tt]:mm")),
IF(
$K32-$J32-$G32&gt;=0,
TEXT($K32-$J32-$G32,"[tt]:mm"),
"-"&amp;TEXT(ABS($K32-$J32-$G32),"[tt]:mm")
)
)
)
))</f>
        <v>0:00</v>
      </c>
      <c r="N32" s="71" t="str">
        <f t="shared" si="13"/>
        <v>0</v>
      </c>
      <c r="O32" s="25" t="str">
        <f t="shared" si="5"/>
        <v>0:</v>
      </c>
      <c r="P32" s="52" t="str">
        <f t="shared" si="6"/>
        <v>0</v>
      </c>
      <c r="Q32" s="53">
        <f t="shared" si="10"/>
        <v>0</v>
      </c>
      <c r="R32" s="30">
        <f t="shared" si="14"/>
        <v>0</v>
      </c>
      <c r="S32" s="98"/>
      <c r="T32" s="98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</row>
    <row r="33" spans="1:45" x14ac:dyDescent="0.3">
      <c r="A33" s="7">
        <f t="shared" si="2"/>
        <v>22</v>
      </c>
      <c r="B33" s="8">
        <f t="shared" si="9"/>
        <v>46167</v>
      </c>
      <c r="C33" s="9" t="str" cm="1">
        <f t="array" ref="C33">_xlfn.XLOOKUP(E33,Masterdata!$B$31:$B$44,Masterdata!$A$31:$A$44,_xlfn.SWITCH(WEEKDAY($D33, 2), 1, "mandag", 2, "tirsdag", 3, "onsdag", 4, "torsdag", 5, "fredag", 6, "lørdag", 7, "søndag"),0)</f>
        <v>2. pinsedag</v>
      </c>
      <c r="D33" s="29">
        <f t="shared" si="0"/>
        <v>2</v>
      </c>
      <c r="E33" s="70">
        <f t="shared" si="3"/>
        <v>46167</v>
      </c>
      <c r="F33" s="10" t="s">
        <v>23</v>
      </c>
      <c r="G33" s="12">
        <f>IF(OR(AND(F33="N",NOT(OR(C33="mandag",C33="tirsdag",C33="onsdag",C33="torsdag",C33="fredag"))),F33="F"),0,
        IF(OR(
            AND(Masterdata!$B$4&lt;&gt;DATE(1900,1,0), Masterdata!$B$4&lt;$E33),
            AND(Masterdata!$B$3&lt;&gt;DATE(1900,1,0), Masterdata!$B$3&gt;$E33)
        ),
        0, $X$7/(5-H33)))</f>
        <v>0</v>
      </c>
      <c r="H33" s="86">
        <f>SUMPRODUCT(COUNTIFS(April!$A$9:$A$39,$A33,April!$D$9:$D$39,"&lt;7",April!$F$9:$F$39,"F")+COUNTIFS($A$9:$A$38,$A33,$D$9:$D$38,"&lt;7",$F$9:$F$38,"F")+COUNTIFS(Juni!$A$9:$A$39,$A33,Juni!$D$9:$D$39,"&lt;7",Juni!$F$9:$F$39,"F"))</f>
        <v>0</v>
      </c>
      <c r="I33" s="11">
        <v>0</v>
      </c>
      <c r="J33" s="11">
        <v>0</v>
      </c>
      <c r="K33" s="11">
        <v>0</v>
      </c>
      <c r="L33" s="26" t="str">
        <f t="shared" si="12"/>
        <v>00:00</v>
      </c>
      <c r="M33" s="26" t="str">
        <f>IF(OR(F33="N",F33="F"),"0:00",
IF(
OR(
AND(Masterdata!$B$4&lt;&gt;DATE(1900,1,0),Masterdata!$B$4&lt;$E33),
AND(Masterdata!$B$3&lt;&gt;DATE(1900,1,0),Masterdata!$B$3&gt;$E33)
),"0:00",
IF(
$I33&gt;TIME(0,0,0),
IF(
NOT(OR($C33="mandag",$C33="tirsdag",$C33="onsdag",$C33="torsdag",$C33="fredag")),
TEXT($I33,"[tt]:mm"),
IF($I33-$G33&gt;=0,TEXT($I33-$G33,"[tt]:mm"),"-"&amp;TEXT(ABS($I33-$G33),"[tt]:mm"))
),
IF(
NOT(OR($C33="mandag",$C33="tirsdag",$C33="onsdag",$C33="torsdag",$C33="fredag")),
IF($K33-$J33&gt;=0,TEXT($K33-$J33,"[tt]:mm"),"-"&amp;TEXT(ABS($K33-$J33),"[tt]:mm")),
IF(
$K33-$J33-$G33&gt;=0,
TEXT($K33-$J33-$G33,"[tt]:mm"),
"-"&amp;TEXT(ABS($K33-$J33-$G33),"[tt]:mm")
)
)
)
))</f>
        <v>0:00</v>
      </c>
      <c r="N33" s="71" t="str">
        <f t="shared" si="13"/>
        <v>0</v>
      </c>
      <c r="O33" s="25" t="str">
        <f t="shared" si="5"/>
        <v>0:</v>
      </c>
      <c r="P33" s="52" t="str">
        <f t="shared" si="6"/>
        <v>0</v>
      </c>
      <c r="Q33" s="53">
        <f t="shared" si="10"/>
        <v>0</v>
      </c>
      <c r="R33" s="30">
        <f t="shared" si="14"/>
        <v>0</v>
      </c>
      <c r="S33" s="98"/>
      <c r="T33" s="98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</row>
    <row r="34" spans="1:45" x14ac:dyDescent="0.3">
      <c r="A34" s="7">
        <f t="shared" si="2"/>
        <v>22</v>
      </c>
      <c r="B34" s="8">
        <f t="shared" si="9"/>
        <v>46168</v>
      </c>
      <c r="C34" s="9" t="str" cm="1">
        <f t="array" ref="C34">_xlfn.XLOOKUP(E34,Masterdata!$B$31:$B$44,Masterdata!$A$31:$A$44,_xlfn.SWITCH(WEEKDAY($D34, 2), 1, "mandag", 2, "tirsdag", 3, "onsdag", 4, "torsdag", 5, "fredag", 6, "lørdag", 7, "søndag"),0)</f>
        <v>tirsdag</v>
      </c>
      <c r="D34" s="29">
        <f t="shared" si="0"/>
        <v>3</v>
      </c>
      <c r="E34" s="70">
        <f t="shared" si="3"/>
        <v>46168</v>
      </c>
      <c r="F34" s="10" t="s">
        <v>23</v>
      </c>
      <c r="G34" s="12">
        <f>IF(OR(AND(F34="N",NOT(OR(C34="mandag",C34="tirsdag",C34="onsdag",C34="torsdag",C34="fredag"))),F34="F"),0,
        IF(OR(
            AND(Masterdata!$B$4&lt;&gt;DATE(1900,1,0), Masterdata!$B$4&lt;$E34),
            AND(Masterdata!$B$3&lt;&gt;DATE(1900,1,0), Masterdata!$B$3&gt;$E34)
        ),
        0, $X$7/(5-H34)))</f>
        <v>0.30833333333333335</v>
      </c>
      <c r="H34" s="86">
        <f>SUMPRODUCT(COUNTIFS(April!$A$9:$A$39,$A34,April!$D$9:$D$39,"&lt;7",April!$F$9:$F$39,"F")+COUNTIFS($A$9:$A$38,$A34,$D$9:$D$38,"&lt;7",$F$9:$F$38,"F")+COUNTIFS(Juni!$A$9:$A$39,$A34,Juni!$D$9:$D$39,"&lt;7",Juni!$F$9:$F$39,"F"))</f>
        <v>0</v>
      </c>
      <c r="I34" s="11">
        <v>0</v>
      </c>
      <c r="J34" s="11">
        <v>0</v>
      </c>
      <c r="K34" s="11">
        <v>0</v>
      </c>
      <c r="L34" s="26" t="str">
        <f t="shared" si="12"/>
        <v>07:24</v>
      </c>
      <c r="M34" s="26" t="str">
        <f>IF(OR(F34="N",F34="F"),"0:00",
IF(
OR(
AND(Masterdata!$B$4&lt;&gt;DATE(1900,1,0),Masterdata!$B$4&lt;$E34),
AND(Masterdata!$B$3&lt;&gt;DATE(1900,1,0),Masterdata!$B$3&gt;$E34)
),"0:00",
IF(
$I34&gt;TIME(0,0,0),
IF(
NOT(OR($C34="mandag",$C34="tirsdag",$C34="onsdag",$C34="torsdag",$C34="fredag")),
TEXT($I34,"[tt]:mm"),
IF($I34-$G34&gt;=0,TEXT($I34-$G34,"[tt]:mm"),"-"&amp;TEXT(ABS($I34-$G34),"[tt]:mm"))
),
IF(
NOT(OR($C34="mandag",$C34="tirsdag",$C34="onsdag",$C34="torsdag",$C34="fredag")),
IF($K34-$J34&gt;=0,TEXT($K34-$J34,"[tt]:mm"),"-"&amp;TEXT(ABS($K34-$J34),"[tt]:mm")),
IF(
$K34-$J34-$G34&gt;=0,
TEXT($K34-$J34-$G34,"[tt]:mm"),
"-"&amp;TEXT(ABS($K34-$J34-$G34),"[tt]:mm")
)
)
)
))</f>
        <v>0:00</v>
      </c>
      <c r="N34" s="71" t="str">
        <f t="shared" si="13"/>
        <v>0</v>
      </c>
      <c r="O34" s="25" t="str">
        <f t="shared" si="5"/>
        <v>0:</v>
      </c>
      <c r="P34" s="52" t="str">
        <f t="shared" si="6"/>
        <v>0</v>
      </c>
      <c r="Q34" s="53">
        <f t="shared" si="10"/>
        <v>0</v>
      </c>
      <c r="R34" s="30">
        <f t="shared" si="14"/>
        <v>0</v>
      </c>
      <c r="S34" s="98"/>
      <c r="T34" s="98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</row>
    <row r="35" spans="1:45" x14ac:dyDescent="0.3">
      <c r="A35" s="7">
        <f t="shared" si="2"/>
        <v>22</v>
      </c>
      <c r="B35" s="8">
        <f t="shared" si="9"/>
        <v>46169</v>
      </c>
      <c r="C35" s="9" t="str" cm="1">
        <f t="array" ref="C35">_xlfn.XLOOKUP(E35,Masterdata!$B$31:$B$44,Masterdata!$A$31:$A$44,_xlfn.SWITCH(WEEKDAY($D35, 2), 1, "mandag", 2, "tirsdag", 3, "onsdag", 4, "torsdag", 5, "fredag", 6, "lørdag", 7, "søndag"),0)</f>
        <v>onsdag</v>
      </c>
      <c r="D35" s="29">
        <f t="shared" si="0"/>
        <v>4</v>
      </c>
      <c r="E35" s="70">
        <f t="shared" si="3"/>
        <v>46169</v>
      </c>
      <c r="F35" s="10" t="s">
        <v>23</v>
      </c>
      <c r="G35" s="12">
        <f>IF(OR(AND(F35="N",NOT(OR(C35="mandag",C35="tirsdag",C35="onsdag",C35="torsdag",C35="fredag"))),F35="F"),0,
        IF(OR(
            AND(Masterdata!$B$4&lt;&gt;DATE(1900,1,0), Masterdata!$B$4&lt;$E35),
            AND(Masterdata!$B$3&lt;&gt;DATE(1900,1,0), Masterdata!$B$3&gt;$E35)
        ),
        0, $X$7/(5-H35)))</f>
        <v>0.30833333333333335</v>
      </c>
      <c r="H35" s="86">
        <f>SUMPRODUCT(COUNTIFS(April!$A$9:$A$39,$A35,April!$D$9:$D$39,"&lt;7",April!$F$9:$F$39,"F")+COUNTIFS($A$9:$A$38,$A35,$D$9:$D$38,"&lt;7",$F$9:$F$38,"F")+COUNTIFS(Juni!$A$9:$A$39,$A35,Juni!$D$9:$D$39,"&lt;7",Juni!$F$9:$F$39,"F"))</f>
        <v>0</v>
      </c>
      <c r="I35" s="11">
        <v>0</v>
      </c>
      <c r="J35" s="11">
        <v>0</v>
      </c>
      <c r="K35" s="11">
        <v>0</v>
      </c>
      <c r="L35" s="26" t="str">
        <f t="shared" si="12"/>
        <v>07:24</v>
      </c>
      <c r="M35" s="26" t="str">
        <f>IF(OR(F35="N",F35="F"),"0:00",
IF(
OR(
AND(Masterdata!$B$4&lt;&gt;DATE(1900,1,0),Masterdata!$B$4&lt;$E35),
AND(Masterdata!$B$3&lt;&gt;DATE(1900,1,0),Masterdata!$B$3&gt;$E35)
),"0:00",
IF(
$I35&gt;TIME(0,0,0),
IF(
NOT(OR($C35="mandag",$C35="tirsdag",$C35="onsdag",$C35="torsdag",$C35="fredag")),
TEXT($I35,"[tt]:mm"),
IF($I35-$G35&gt;=0,TEXT($I35-$G35,"[tt]:mm"),"-"&amp;TEXT(ABS($I35-$G35),"[tt]:mm"))
),
IF(
NOT(OR($C35="mandag",$C35="tirsdag",$C35="onsdag",$C35="torsdag",$C35="fredag")),
IF($K35-$J35&gt;=0,TEXT($K35-$J35,"[tt]:mm"),"-"&amp;TEXT(ABS($K35-$J35),"[tt]:mm")),
IF(
$K35-$J35-$G35&gt;=0,
TEXT($K35-$J35-$G35,"[tt]:mm"),
"-"&amp;TEXT(ABS($K35-$J35-$G35),"[tt]:mm")
)
)
)
))</f>
        <v>0:00</v>
      </c>
      <c r="N35" s="71" t="str">
        <f t="shared" si="13"/>
        <v>0</v>
      </c>
      <c r="O35" s="25" t="str">
        <f t="shared" si="5"/>
        <v>0:</v>
      </c>
      <c r="P35" s="52" t="str">
        <f t="shared" si="6"/>
        <v>0</v>
      </c>
      <c r="Q35" s="53">
        <f t="shared" si="10"/>
        <v>0</v>
      </c>
      <c r="R35" s="30">
        <f t="shared" si="14"/>
        <v>0</v>
      </c>
      <c r="S35" s="98"/>
      <c r="T35" s="98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</row>
    <row r="36" spans="1:45" x14ac:dyDescent="0.3">
      <c r="A36" s="7">
        <f t="shared" si="2"/>
        <v>22</v>
      </c>
      <c r="B36" s="8">
        <f t="shared" si="9"/>
        <v>46170</v>
      </c>
      <c r="C36" s="9" t="str" cm="1">
        <f t="array" ref="C36">_xlfn.XLOOKUP(E36,Masterdata!$B$31:$B$44,Masterdata!$A$31:$A$44,_xlfn.SWITCH(WEEKDAY($D36, 2), 1, "mandag", 2, "tirsdag", 3, "onsdag", 4, "torsdag", 5, "fredag", 6, "lørdag", 7, "søndag"),0)</f>
        <v>torsdag</v>
      </c>
      <c r="D36" s="29">
        <f t="shared" si="0"/>
        <v>5</v>
      </c>
      <c r="E36" s="70">
        <f t="shared" si="3"/>
        <v>46170</v>
      </c>
      <c r="F36" s="10" t="s">
        <v>23</v>
      </c>
      <c r="G36" s="12">
        <f>IF(OR(AND(F36="N",NOT(OR(C36="mandag",C36="tirsdag",C36="onsdag",C36="torsdag",C36="fredag"))),F36="F"),0,
        IF(OR(
            AND(Masterdata!$B$4&lt;&gt;DATE(1900,1,0), Masterdata!$B$4&lt;$E36),
            AND(Masterdata!$B$3&lt;&gt;DATE(1900,1,0), Masterdata!$B$3&gt;$E36)
        ),
        0, $X$7/(5-H36)))</f>
        <v>0.30833333333333335</v>
      </c>
      <c r="H36" s="86">
        <f>SUMPRODUCT(COUNTIFS(April!$A$9:$A$39,$A36,April!$D$9:$D$39,"&lt;7",April!$F$9:$F$39,"F")+COUNTIFS($A$9:$A$38,$A36,$D$9:$D$38,"&lt;7",$F$9:$F$38,"F")+COUNTIFS(Juni!$A$9:$A$39,$A36,Juni!$D$9:$D$39,"&lt;7",Juni!$F$9:$F$39,"F"))</f>
        <v>0</v>
      </c>
      <c r="I36" s="11">
        <v>0</v>
      </c>
      <c r="J36" s="11">
        <v>0</v>
      </c>
      <c r="K36" s="11">
        <v>0</v>
      </c>
      <c r="L36" s="26" t="str">
        <f t="shared" si="12"/>
        <v>07:24</v>
      </c>
      <c r="M36" s="26" t="str">
        <f>IF(OR(F36="N",F36="F"),"0:00",
IF(
OR(
AND(Masterdata!$B$4&lt;&gt;DATE(1900,1,0),Masterdata!$B$4&lt;$E36),
AND(Masterdata!$B$3&lt;&gt;DATE(1900,1,0),Masterdata!$B$3&gt;$E36)
),"0:00",
IF(
$I36&gt;TIME(0,0,0),
IF(
NOT(OR($C36="mandag",$C36="tirsdag",$C36="onsdag",$C36="torsdag",$C36="fredag")),
TEXT($I36,"[tt]:mm"),
IF($I36-$G36&gt;=0,TEXT($I36-$G36,"[tt]:mm"),"-"&amp;TEXT(ABS($I36-$G36),"[tt]:mm"))
),
IF(
NOT(OR($C36="mandag",$C36="tirsdag",$C36="onsdag",$C36="torsdag",$C36="fredag")),
IF($K36-$J36&gt;=0,TEXT($K36-$J36,"[tt]:mm"),"-"&amp;TEXT(ABS($K36-$J36),"[tt]:mm")),
IF(
$K36-$J36-$G36&gt;=0,
TEXT($K36-$J36-$G36,"[tt]:mm"),
"-"&amp;TEXT(ABS($K36-$J36-$G36),"[tt]:mm")
)
)
)
))</f>
        <v>0:00</v>
      </c>
      <c r="N36" s="71" t="str">
        <f t="shared" si="13"/>
        <v>0</v>
      </c>
      <c r="O36" s="25" t="str">
        <f t="shared" si="5"/>
        <v>0:</v>
      </c>
      <c r="P36" s="52" t="str">
        <f t="shared" si="6"/>
        <v>0</v>
      </c>
      <c r="Q36" s="53">
        <f t="shared" si="10"/>
        <v>0</v>
      </c>
      <c r="R36" s="30">
        <f t="shared" si="14"/>
        <v>0</v>
      </c>
      <c r="S36" s="98"/>
      <c r="T36" s="98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</row>
    <row r="37" spans="1:45" x14ac:dyDescent="0.3">
      <c r="A37" s="7">
        <f t="shared" si="2"/>
        <v>22</v>
      </c>
      <c r="B37" s="8">
        <f t="shared" si="9"/>
        <v>46171</v>
      </c>
      <c r="C37" s="9" t="str" cm="1">
        <f t="array" ref="C37">_xlfn.XLOOKUP(E37,Masterdata!$B$31:$B$44,Masterdata!$A$31:$A$44,_xlfn.SWITCH(WEEKDAY($D37, 2), 1, "mandag", 2, "tirsdag", 3, "onsdag", 4, "torsdag", 5, "fredag", 6, "lørdag", 7, "søndag"),0)</f>
        <v>fredag</v>
      </c>
      <c r="D37" s="29">
        <f t="shared" si="0"/>
        <v>6</v>
      </c>
      <c r="E37" s="70">
        <f t="shared" si="3"/>
        <v>46171</v>
      </c>
      <c r="F37" s="10" t="s">
        <v>23</v>
      </c>
      <c r="G37" s="12">
        <f>IF(OR(AND(F37="N",NOT(OR(C37="mandag",C37="tirsdag",C37="onsdag",C37="torsdag",C37="fredag"))),F37="F"),0,
        IF(OR(
            AND(Masterdata!$B$4&lt;&gt;DATE(1900,1,0), Masterdata!$B$4&lt;$E37),
            AND(Masterdata!$B$3&lt;&gt;DATE(1900,1,0), Masterdata!$B$3&gt;$E37)
        ),
        0, $X$7/(5-H37)))</f>
        <v>0.30833333333333335</v>
      </c>
      <c r="H37" s="86">
        <f>SUMPRODUCT(COUNTIFS(April!$A$9:$A$39,$A37,April!$D$9:$D$39,"&lt;7",April!$F$9:$F$39,"F")+COUNTIFS($A$9:$A$38,$A37,$D$9:$D$38,"&lt;7",$F$9:$F$38,"F")+COUNTIFS(Juni!$A$9:$A$39,$A37,Juni!$D$9:$D$39,"&lt;7",Juni!$F$9:$F$39,"F"))</f>
        <v>0</v>
      </c>
      <c r="I37" s="11">
        <v>0</v>
      </c>
      <c r="J37" s="11">
        <v>0</v>
      </c>
      <c r="K37" s="11">
        <v>0</v>
      </c>
      <c r="L37" s="26" t="str">
        <f t="shared" si="12"/>
        <v>07:24</v>
      </c>
      <c r="M37" s="26" t="str">
        <f>IF(OR(F37="N",F37="F"),"0:00",
IF(
OR(
AND(Masterdata!$B$4&lt;&gt;DATE(1900,1,0),Masterdata!$B$4&lt;$E37),
AND(Masterdata!$B$3&lt;&gt;DATE(1900,1,0),Masterdata!$B$3&gt;$E37)
),"0:00",
IF(
$I37&gt;TIME(0,0,0),
IF(
NOT(OR($C37="mandag",$C37="tirsdag",$C37="onsdag",$C37="torsdag",$C37="fredag")),
TEXT($I37,"[tt]:mm"),
IF($I37-$G37&gt;=0,TEXT($I37-$G37,"[tt]:mm"),"-"&amp;TEXT(ABS($I37-$G37),"[tt]:mm"))
),
IF(
NOT(OR($C37="mandag",$C37="tirsdag",$C37="onsdag",$C37="torsdag",$C37="fredag")),
IF($K37-$J37&gt;=0,TEXT($K37-$J37,"[tt]:mm"),"-"&amp;TEXT(ABS($K37-$J37),"[tt]:mm")),
IF(
$K37-$J37-$G37&gt;=0,
TEXT($K37-$J37-$G37,"[tt]:mm"),
"-"&amp;TEXT(ABS($K37-$J37-$G37),"[tt]:mm")
)
)
)
))</f>
        <v>0:00</v>
      </c>
      <c r="N37" s="71" t="str">
        <f t="shared" si="13"/>
        <v>0</v>
      </c>
      <c r="O37" s="25" t="str">
        <f t="shared" si="5"/>
        <v>0:</v>
      </c>
      <c r="P37" s="52" t="str">
        <f t="shared" si="6"/>
        <v>0</v>
      </c>
      <c r="Q37" s="53">
        <f t="shared" si="10"/>
        <v>0</v>
      </c>
      <c r="R37" s="30">
        <f t="shared" si="14"/>
        <v>0</v>
      </c>
      <c r="S37" s="98"/>
      <c r="T37" s="98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</row>
    <row r="38" spans="1:45" x14ac:dyDescent="0.3">
      <c r="A38" s="7">
        <f t="shared" si="2"/>
        <v>22</v>
      </c>
      <c r="B38" s="8">
        <f t="shared" si="9"/>
        <v>46172</v>
      </c>
      <c r="C38" s="9" t="str" cm="1">
        <f t="array" ref="C38">_xlfn.XLOOKUP(E38,Masterdata!$B$31:$B$44,Masterdata!$A$31:$A$44,_xlfn.SWITCH(WEEKDAY($D38, 2), 1, "mandag", 2, "tirsdag", 3, "onsdag", 4, "torsdag", 5, "fredag", 6, "lørdag", 7, "søndag"),0)</f>
        <v>lørdag</v>
      </c>
      <c r="D38" s="29">
        <f t="shared" si="0"/>
        <v>7</v>
      </c>
      <c r="E38" s="70">
        <f t="shared" si="3"/>
        <v>46172</v>
      </c>
      <c r="F38" s="10" t="s">
        <v>23</v>
      </c>
      <c r="G38" s="12">
        <f>IF(OR(AND(F38="N",NOT(OR(C38="mandag",C38="tirsdag",C38="onsdag",C38="torsdag",C38="fredag"))),F38="F"),0,
        IF(OR(
            AND(Masterdata!$B$4&lt;&gt;DATE(1900,1,0), Masterdata!$B$4&lt;$E38),
            AND(Masterdata!$B$3&lt;&gt;DATE(1900,1,0), Masterdata!$B$3&gt;$E38)
        ),
        0, $X$7/(5-H38)))</f>
        <v>0</v>
      </c>
      <c r="H38" s="86">
        <f>SUMPRODUCT(COUNTIFS(April!$A$9:$A$39,$A38,April!$D$9:$D$39,"&lt;7",April!$F$9:$F$39,"F")+COUNTIFS($A$9:$A$38,$A38,$D$9:$D$38,"&lt;7",$F$9:$F$38,"F")+COUNTIFS(Juni!$A$9:$A$39,$A38,Juni!$D$9:$D$39,"&lt;7",Juni!$F$9:$F$39,"F"))</f>
        <v>0</v>
      </c>
      <c r="I38" s="11">
        <v>0</v>
      </c>
      <c r="J38" s="11">
        <v>0</v>
      </c>
      <c r="K38" s="11">
        <v>0</v>
      </c>
      <c r="L38" s="26" t="str">
        <f t="shared" si="12"/>
        <v>00:00</v>
      </c>
      <c r="M38" s="26" t="str">
        <f>IF(OR(F38="N",F38="F"),"0:00",
IF(
OR(
AND(Masterdata!$B$4&lt;&gt;DATE(1900,1,0),Masterdata!$B$4&lt;$E38),
AND(Masterdata!$B$3&lt;&gt;DATE(1900,1,0),Masterdata!$B$3&gt;$E38)
),"0:00",
IF(
$I38&gt;TIME(0,0,0),
IF(
NOT(OR($C38="mandag",$C38="tirsdag",$C38="onsdag",$C38="torsdag",$C38="fredag")),
TEXT($I38,"[tt]:mm"),
IF($I38-$G38&gt;=0,TEXT($I38-$G38,"[tt]:mm"),"-"&amp;TEXT(ABS($I38-$G38),"[tt]:mm"))
),
IF(
NOT(OR($C38="mandag",$C38="tirsdag",$C38="onsdag",$C38="torsdag",$C38="fredag")),
IF($K38-$J38&gt;=0,TEXT($K38-$J38,"[tt]:mm"),"-"&amp;TEXT(ABS($K38-$J38),"[tt]:mm")),
IF(
$K38-$J38-$G38&gt;=0,
TEXT($K38-$J38-$G38,"[tt]:mm"),
"-"&amp;TEXT(ABS($K38-$J38-$G38),"[tt]:mm")
)
)
)
))</f>
        <v>0:00</v>
      </c>
      <c r="N38" s="71" t="str">
        <f t="shared" si="13"/>
        <v>0</v>
      </c>
      <c r="O38" s="25" t="str">
        <f t="shared" si="5"/>
        <v>0:</v>
      </c>
      <c r="P38" s="52" t="str">
        <f t="shared" si="6"/>
        <v>0</v>
      </c>
      <c r="Q38" s="53">
        <f t="shared" si="10"/>
        <v>0</v>
      </c>
      <c r="R38" s="30">
        <f t="shared" si="14"/>
        <v>0</v>
      </c>
      <c r="S38" s="98"/>
      <c r="T38" s="98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</row>
    <row r="39" spans="1:45" x14ac:dyDescent="0.3">
      <c r="A39" s="7">
        <f t="shared" si="2"/>
        <v>22</v>
      </c>
      <c r="B39" s="8">
        <f t="shared" si="9"/>
        <v>46173</v>
      </c>
      <c r="C39" s="9" t="str" cm="1">
        <f t="array" ref="C39">_xlfn.XLOOKUP(E39,Masterdata!$B$31:$B$44,Masterdata!$A$31:$A$44,_xlfn.SWITCH(WEEKDAY($D39, 2), 1, "mandag", 2, "tirsdag", 3, "onsdag", 4, "torsdag", 5, "fredag", 6, "lørdag", 7, "søndag"),0)</f>
        <v>søndag</v>
      </c>
      <c r="D39" s="29">
        <f t="shared" si="0"/>
        <v>8</v>
      </c>
      <c r="E39" s="70">
        <f t="shared" si="3"/>
        <v>46173</v>
      </c>
      <c r="F39" s="10" t="s">
        <v>23</v>
      </c>
      <c r="G39" s="12">
        <f>IF(OR(AND(F39="N",NOT(OR(C39="mandag",C39="tirsdag",C39="onsdag",C39="torsdag",C39="fredag"))),F39="F"),0,
        IF(OR(
            AND(Masterdata!$B$4&lt;&gt;DATE(1900,1,0), Masterdata!$B$4&lt;$E39),
            AND(Masterdata!$B$3&lt;&gt;DATE(1900,1,0), Masterdata!$B$3&gt;$E39)
        ),
        0, $X$7/(5-H39)))</f>
        <v>0</v>
      </c>
      <c r="H39" s="86">
        <f>SUMPRODUCT(COUNTIFS(April!$A$9:$A$39,$A39,April!$D$9:$D$39,"&lt;7",April!$F$9:$F$39,"F")+COUNTIFS($A$9:$A$38,$A39,$D$9:$D$38,"&lt;7",$F$9:$F$38,"F")+COUNTIFS(Juni!$A$9:$A$39,$A39,Juni!$D$9:$D$39,"&lt;7",Juni!$F$9:$F$39,"F"))</f>
        <v>0</v>
      </c>
      <c r="I39" s="11">
        <v>0</v>
      </c>
      <c r="J39" s="11">
        <v>0</v>
      </c>
      <c r="K39" s="11">
        <v>0</v>
      </c>
      <c r="L39" s="26" t="str">
        <f t="shared" si="12"/>
        <v>00:00</v>
      </c>
      <c r="M39" s="26" t="str">
        <f>IF(OR(F39="N",F39="F"),"0:00",
IF(
OR(
AND(Masterdata!$B$4&lt;&gt;DATE(1900,1,0),Masterdata!$B$4&lt;$E39),
AND(Masterdata!$B$3&lt;&gt;DATE(1900,1,0),Masterdata!$B$3&gt;$E39)
),"0:00",
IF(
$I39&gt;TIME(0,0,0),
IF(
NOT(OR($C39="mandag",$C39="tirsdag",$C39="onsdag",$C39="torsdag",$C39="fredag")),
TEXT($I39,"[tt]:mm"),
IF($I39-$G39&gt;=0,TEXT($I39-$G39,"[tt]:mm"),"-"&amp;TEXT(ABS($I39-$G39),"[tt]:mm"))
),
IF(
NOT(OR($C39="mandag",$C39="tirsdag",$C39="onsdag",$C39="torsdag",$C39="fredag")),
IF($K39-$J39&gt;=0,TEXT($K39-$J39,"[tt]:mm"),"-"&amp;TEXT(ABS($K39-$J39),"[tt]:mm")),
IF(
$K39-$J39-$G39&gt;=0,
TEXT($K39-$J39-$G39,"[tt]:mm"),
"-"&amp;TEXT(ABS($K39-$J39-$G39),"[tt]:mm")
)
)
)
))</f>
        <v>0:00</v>
      </c>
      <c r="N39" s="71" t="str">
        <f t="shared" si="13"/>
        <v>0</v>
      </c>
      <c r="O39" s="25" t="str">
        <f t="shared" si="5"/>
        <v>0:</v>
      </c>
      <c r="P39" s="52" t="str">
        <f t="shared" si="6"/>
        <v>0</v>
      </c>
      <c r="Q39" s="53">
        <f t="shared" si="10"/>
        <v>0</v>
      </c>
      <c r="R39" s="30">
        <f t="shared" si="14"/>
        <v>0</v>
      </c>
      <c r="S39" s="98"/>
      <c r="T39" s="98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</row>
    <row r="40" spans="1:45" x14ac:dyDescent="0.3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73"/>
      <c r="N40" s="29"/>
      <c r="O40" s="29"/>
      <c r="P40" s="29"/>
      <c r="Q40" s="29"/>
      <c r="R40" s="30">
        <f>SUM(R9:R39)</f>
        <v>0</v>
      </c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</row>
    <row r="41" spans="1:45" x14ac:dyDescent="0.3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</row>
    <row r="42" spans="1:45" x14ac:dyDescent="0.3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</row>
    <row r="43" spans="1:45" x14ac:dyDescent="0.3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</row>
    <row r="44" spans="1:45" x14ac:dyDescent="0.3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</row>
    <row r="45" spans="1:45" x14ac:dyDescent="0.3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</row>
    <row r="46" spans="1:45" x14ac:dyDescent="0.3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</row>
    <row r="47" spans="1:45" x14ac:dyDescent="0.3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</row>
    <row r="48" spans="1:45" x14ac:dyDescent="0.3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</row>
    <row r="49" spans="1:45" x14ac:dyDescent="0.3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</row>
    <row r="50" spans="1:45" x14ac:dyDescent="0.3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</row>
    <row r="51" spans="1:45" x14ac:dyDescent="0.3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</row>
    <row r="52" spans="1:45" x14ac:dyDescent="0.3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</row>
    <row r="53" spans="1:45" x14ac:dyDescent="0.3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</row>
    <row r="54" spans="1:45" x14ac:dyDescent="0.3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</row>
    <row r="55" spans="1:45" x14ac:dyDescent="0.3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</row>
    <row r="56" spans="1:45" x14ac:dyDescent="0.3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</row>
    <row r="57" spans="1:45" x14ac:dyDescent="0.3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</row>
    <row r="58" spans="1:45" x14ac:dyDescent="0.3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</row>
    <row r="59" spans="1:45" x14ac:dyDescent="0.3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</row>
    <row r="60" spans="1:45" x14ac:dyDescent="0.3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</row>
    <row r="61" spans="1:45" x14ac:dyDescent="0.3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</row>
    <row r="62" spans="1:45" x14ac:dyDescent="0.3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</row>
    <row r="63" spans="1:45" x14ac:dyDescent="0.3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</row>
    <row r="64" spans="1:45" x14ac:dyDescent="0.3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</row>
    <row r="65" spans="1:45" x14ac:dyDescent="0.3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</row>
    <row r="66" spans="1:45" x14ac:dyDescent="0.3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</row>
    <row r="67" spans="1:45" x14ac:dyDescent="0.3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</row>
    <row r="68" spans="1:45" x14ac:dyDescent="0.3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</row>
    <row r="69" spans="1:45" x14ac:dyDescent="0.3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</row>
    <row r="70" spans="1:45" x14ac:dyDescent="0.3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</row>
    <row r="71" spans="1:45" x14ac:dyDescent="0.3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</row>
    <row r="72" spans="1:45" x14ac:dyDescent="0.3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</row>
    <row r="73" spans="1:45" x14ac:dyDescent="0.3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</row>
    <row r="74" spans="1:45" x14ac:dyDescent="0.3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</row>
    <row r="75" spans="1:45" x14ac:dyDescent="0.3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</row>
    <row r="76" spans="1:45" x14ac:dyDescent="0.3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</row>
    <row r="77" spans="1:45" x14ac:dyDescent="0.3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</row>
    <row r="78" spans="1:45" x14ac:dyDescent="0.3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</row>
  </sheetData>
  <sheetProtection algorithmName="SHA-512" hashValue="ZYfTxrbPrJ4exaUEh2pi0pQeqCFLEK/yUjojFEVvXAK3tgdyQz9DCS7MYIaa6qqJR0BXHvkbhu81CX6KjMRFRQ==" saltValue="FHLQ+XuoZJ8jKQBX8MSScA==" spinCount="100000" sheet="1" objects="1" scenarios="1"/>
  <mergeCells count="37">
    <mergeCell ref="S39:T39"/>
    <mergeCell ref="S33:T33"/>
    <mergeCell ref="S34:T34"/>
    <mergeCell ref="S35:T35"/>
    <mergeCell ref="S36:T36"/>
    <mergeCell ref="S37:T37"/>
    <mergeCell ref="S38:T38"/>
    <mergeCell ref="S32:T32"/>
    <mergeCell ref="S21:T21"/>
    <mergeCell ref="S22:T22"/>
    <mergeCell ref="S23:T23"/>
    <mergeCell ref="S24:T24"/>
    <mergeCell ref="S25:T25"/>
    <mergeCell ref="S26:T26"/>
    <mergeCell ref="S27:T27"/>
    <mergeCell ref="S28:T28"/>
    <mergeCell ref="S29:T29"/>
    <mergeCell ref="S30:T30"/>
    <mergeCell ref="S31:T31"/>
    <mergeCell ref="S20:T20"/>
    <mergeCell ref="S9:T9"/>
    <mergeCell ref="S10:T10"/>
    <mergeCell ref="S11:T11"/>
    <mergeCell ref="S12:T12"/>
    <mergeCell ref="S13:T13"/>
    <mergeCell ref="S14:T14"/>
    <mergeCell ref="S15:T15"/>
    <mergeCell ref="S16:T16"/>
    <mergeCell ref="S17:T17"/>
    <mergeCell ref="S18:T18"/>
    <mergeCell ref="S19:T19"/>
    <mergeCell ref="S8:T8"/>
    <mergeCell ref="S2:T2"/>
    <mergeCell ref="S3:T3"/>
    <mergeCell ref="S4:T4"/>
    <mergeCell ref="S5:T5"/>
    <mergeCell ref="S6:T6"/>
  </mergeCells>
  <conditionalFormatting sqref="A9:H39">
    <cfRule type="expression" dxfId="39" priority="1">
      <formula>$F9="F"</formula>
    </cfRule>
    <cfRule type="expression" dxfId="38" priority="3">
      <formula>OR(NOT(OR($C9="mandag", $C9="tirsdag",$C9="onsdag",$C9="torsdag",$C9="fredag")),$F9="F")</formula>
    </cfRule>
  </conditionalFormatting>
  <conditionalFormatting sqref="G9:H39">
    <cfRule type="expression" dxfId="37" priority="5">
      <formula>AND($F9="N", (OR($C9="mandag", $C9="tirsdag",$C9="onsdag",$C9="torsdag",$C9="fredag")))</formula>
    </cfRule>
  </conditionalFormatting>
  <conditionalFormatting sqref="I9:K39">
    <cfRule type="expression" dxfId="36" priority="2">
      <formula>OR($F9="N",$F9="F")</formula>
    </cfRule>
    <cfRule type="expression" dxfId="35" priority="4">
      <formula>$F9="R"</formula>
    </cfRule>
  </conditionalFormatting>
  <dataValidations count="2">
    <dataValidation type="list" showInputMessage="1" showErrorMessage="1" sqref="F9:F39" xr:uid="{8A93EA0D-45E3-452E-8B9F-A7A2C59DE02D}">
      <formula1>IF($B$2,$M$3:$M$5,$M$4:$M$5)</formula1>
    </dataValidation>
    <dataValidation type="time" allowBlank="1" showInputMessage="1" showErrorMessage="1" sqref="I9:K39" xr:uid="{D15A46B2-4A81-44B7-89C8-FD82DD99C044}">
      <formula1>0</formula1>
      <formula2>0.999305555555556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BD0E8-DA79-488C-9330-FA105ED4DFA1}">
  <dimension ref="A1:AS77"/>
  <sheetViews>
    <sheetView zoomScale="70" zoomScaleNormal="70" workbookViewId="0">
      <selection activeCell="I5" sqref="I5"/>
    </sheetView>
  </sheetViews>
  <sheetFormatPr defaultRowHeight="14.4" outlineLevelCol="1" x14ac:dyDescent="0.3"/>
  <cols>
    <col min="1" max="1" width="15.5546875" customWidth="1"/>
    <col min="2" max="2" width="14.109375" customWidth="1"/>
    <col min="3" max="3" width="16.6640625" customWidth="1"/>
    <col min="4" max="4" width="15" hidden="1" customWidth="1"/>
    <col min="5" max="5" width="12.88671875" hidden="1" customWidth="1"/>
    <col min="6" max="6" width="13.5546875" bestFit="1" customWidth="1"/>
    <col min="7" max="7" width="16.33203125" bestFit="1" customWidth="1"/>
    <col min="8" max="8" width="24.109375" hidden="1" customWidth="1"/>
    <col min="9" max="9" width="17.88671875" customWidth="1"/>
    <col min="10" max="11" width="11.33203125" customWidth="1"/>
    <col min="12" max="12" width="18.6640625" customWidth="1"/>
    <col min="13" max="13" width="11.5546875" customWidth="1"/>
    <col min="14" max="15" width="11.109375" hidden="1" customWidth="1" outlineLevel="1"/>
    <col min="16" max="16" width="7.6640625" hidden="1" customWidth="1" outlineLevel="1"/>
    <col min="17" max="18" width="7.5546875" hidden="1" customWidth="1" outlineLevel="1"/>
    <col min="19" max="19" width="53.44140625" customWidth="1" collapsed="1"/>
    <col min="20" max="20" width="29.44140625" customWidth="1"/>
    <col min="21" max="21" width="9.109375" hidden="1" customWidth="1" outlineLevel="1"/>
    <col min="22" max="22" width="24.6640625" hidden="1" customWidth="1" outlineLevel="1"/>
    <col min="23" max="23" width="43" hidden="1" customWidth="1" outlineLevel="1"/>
    <col min="24" max="24" width="14" hidden="1" customWidth="1" outlineLevel="1"/>
    <col min="25" max="25" width="19.44140625" customWidth="1" outlineLevel="1"/>
  </cols>
  <sheetData>
    <row r="1" spans="1:45" ht="16.5" customHeight="1" thickBot="1" x14ac:dyDescent="0.35">
      <c r="A1" s="14" t="s">
        <v>102</v>
      </c>
      <c r="B1" s="15">
        <v>37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</row>
    <row r="2" spans="1:45" ht="36" customHeight="1" x14ac:dyDescent="0.3">
      <c r="A2" s="39" t="s">
        <v>130</v>
      </c>
      <c r="B2" s="91" t="b">
        <v>0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48" t="s">
        <v>21</v>
      </c>
      <c r="N2" s="67"/>
      <c r="O2" s="67"/>
      <c r="P2" s="67"/>
      <c r="Q2" s="67"/>
      <c r="R2" s="67"/>
      <c r="S2" s="99" t="s">
        <v>22</v>
      </c>
      <c r="T2" s="100"/>
      <c r="U2" s="45"/>
      <c r="W2" s="45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</row>
    <row r="3" spans="1:45" ht="33.75" customHeight="1" x14ac:dyDescent="0.3">
      <c r="A3" s="38" t="s">
        <v>59</v>
      </c>
      <c r="B3" s="68" t="str">
        <f ca="1">Masterdata!$D$27</f>
        <v>00:00</v>
      </c>
      <c r="C3" s="46"/>
      <c r="D3" s="29"/>
      <c r="E3" s="29"/>
      <c r="F3" s="29"/>
      <c r="G3" s="29"/>
      <c r="H3" s="29"/>
      <c r="I3" s="29"/>
      <c r="J3" s="29"/>
      <c r="K3" s="88"/>
      <c r="L3" s="46"/>
      <c r="M3" s="89" t="s">
        <v>49</v>
      </c>
      <c r="N3" s="29"/>
      <c r="O3" s="29"/>
      <c r="P3" s="29"/>
      <c r="Q3" s="29"/>
      <c r="R3" s="29"/>
      <c r="S3" s="101" t="s">
        <v>131</v>
      </c>
      <c r="T3" s="102"/>
      <c r="U3" s="45"/>
      <c r="V3" s="45"/>
      <c r="W3" s="45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</row>
    <row r="4" spans="1:45" ht="28.8" x14ac:dyDescent="0.3">
      <c r="A4" s="39" t="s">
        <v>63</v>
      </c>
      <c r="B4" s="68" t="str">
        <f>IF(R39&lt;0,"-"&amp;TEXT(ABS(R39/24),"[tt]:mm"),TEXT(R39/24,"[tt]:mm"))</f>
        <v>00:00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35" t="s">
        <v>23</v>
      </c>
      <c r="N4" s="29"/>
      <c r="O4" s="29"/>
      <c r="P4" s="29"/>
      <c r="Q4" s="29"/>
      <c r="R4" s="29"/>
      <c r="S4" s="101" t="s">
        <v>24</v>
      </c>
      <c r="T4" s="102"/>
      <c r="U4" s="46"/>
      <c r="V4" s="46"/>
      <c r="W4" s="46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</row>
    <row r="5" spans="1:45" ht="59.1" customHeight="1" x14ac:dyDescent="0.3">
      <c r="A5" s="17" t="s">
        <v>2</v>
      </c>
      <c r="B5" s="40">
        <f>Masterdata!$B$5</f>
        <v>2026</v>
      </c>
      <c r="C5" s="29"/>
      <c r="D5" s="29"/>
      <c r="E5" s="29"/>
      <c r="F5" s="29"/>
      <c r="G5" s="29"/>
      <c r="H5" s="29"/>
      <c r="I5" s="29"/>
      <c r="J5" s="29"/>
      <c r="K5" s="29"/>
      <c r="L5" s="29"/>
      <c r="M5" s="35" t="s">
        <v>25</v>
      </c>
      <c r="N5" s="29"/>
      <c r="O5" s="29"/>
      <c r="P5" s="29"/>
      <c r="Q5" s="29"/>
      <c r="R5" s="29"/>
      <c r="S5" s="103" t="s">
        <v>120</v>
      </c>
      <c r="T5" s="104"/>
      <c r="U5" s="47"/>
      <c r="V5" s="47"/>
      <c r="W5" s="47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</row>
    <row r="6" spans="1:45" ht="15" thickBot="1" x14ac:dyDescent="0.35">
      <c r="A6" s="13" t="s">
        <v>20</v>
      </c>
      <c r="B6" s="18">
        <f>B9</f>
        <v>46174</v>
      </c>
      <c r="C6" s="29"/>
      <c r="D6" s="29"/>
      <c r="E6" s="29"/>
      <c r="F6" s="29"/>
      <c r="G6" s="29"/>
      <c r="H6" s="29"/>
      <c r="I6" s="29"/>
      <c r="J6" s="29"/>
      <c r="K6" s="29"/>
      <c r="L6" s="29"/>
      <c r="M6" s="36" t="s">
        <v>26</v>
      </c>
      <c r="N6" s="69"/>
      <c r="O6" s="69"/>
      <c r="P6" s="69"/>
      <c r="Q6" s="69"/>
      <c r="R6" s="69"/>
      <c r="S6" s="105" t="s">
        <v>27</v>
      </c>
      <c r="T6" s="106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</row>
    <row r="7" spans="1:45" ht="15" thickBot="1" x14ac:dyDescent="0.35">
      <c r="A7" s="29"/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87">
        <f>$B$1/24</f>
        <v>1.5416666666666667</v>
      </c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</row>
    <row r="8" spans="1:45" ht="21.75" customHeight="1" thickBot="1" x14ac:dyDescent="0.35">
      <c r="A8" s="4" t="s">
        <v>28</v>
      </c>
      <c r="B8" s="5" t="s">
        <v>29</v>
      </c>
      <c r="C8" s="5" t="s">
        <v>30</v>
      </c>
      <c r="D8" s="5" t="s">
        <v>31</v>
      </c>
      <c r="E8" s="5" t="s">
        <v>32</v>
      </c>
      <c r="F8" s="5" t="s">
        <v>21</v>
      </c>
      <c r="G8" s="5" t="s">
        <v>102</v>
      </c>
      <c r="H8" s="5" t="s">
        <v>129</v>
      </c>
      <c r="I8" s="5" t="s">
        <v>33</v>
      </c>
      <c r="J8" s="6" t="s">
        <v>34</v>
      </c>
      <c r="K8" s="6" t="s">
        <v>35</v>
      </c>
      <c r="L8" s="6" t="s">
        <v>103</v>
      </c>
      <c r="M8" s="5" t="s">
        <v>36</v>
      </c>
      <c r="N8" s="22" t="s">
        <v>37</v>
      </c>
      <c r="O8" s="23" t="s">
        <v>38</v>
      </c>
      <c r="P8" s="23" t="s">
        <v>39</v>
      </c>
      <c r="Q8" s="23"/>
      <c r="R8" s="29"/>
      <c r="S8" s="107" t="s">
        <v>40</v>
      </c>
      <c r="T8" s="108"/>
      <c r="U8" s="29"/>
      <c r="V8" s="29"/>
      <c r="W8" s="29" t="s">
        <v>41</v>
      </c>
      <c r="X8" s="29">
        <v>5</v>
      </c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</row>
    <row r="9" spans="1:45" x14ac:dyDescent="0.3">
      <c r="A9" s="7">
        <f>WEEKNUM($B9,21)</f>
        <v>23</v>
      </c>
      <c r="B9" s="8">
        <f>DATE(Masterdata!$B$5,6,1)</f>
        <v>46174</v>
      </c>
      <c r="C9" s="9" t="str" cm="1">
        <f t="array" ref="C9">_xlfn.XLOOKUP(E9,Masterdata!$B$31:$B$44,Masterdata!$A$31:$A$44,_xlfn.SWITCH(WEEKDAY($D9, 2), 1, "mandag", 2, "tirsdag", 3, "onsdag", 4, "torsdag", 5, "fredag", 6, "lørdag", 7, "søndag"),0)</f>
        <v>mandag</v>
      </c>
      <c r="D9" s="29">
        <f t="shared" ref="D9:D38" si="0">WEEKDAY($B9, 2)+1</f>
        <v>2</v>
      </c>
      <c r="E9" s="70">
        <f>$B9</f>
        <v>46174</v>
      </c>
      <c r="F9" s="10" t="s">
        <v>23</v>
      </c>
      <c r="G9" s="12">
        <f>IF(OR(AND(F9="N",NOT(OR(C9="mandag",C9="tirsdag",C9="onsdag",C9="torsdag",C9="fredag"))),F9="F"),0,
        IF(OR(
            AND(Masterdata!$B$4&lt;&gt;DATE(1900,1,0), Masterdata!$B$4&lt;$E9),
            AND(Masterdata!$B$3&lt;&gt;DATE(1900,1,0), Masterdata!$B$3&gt;$E9)
        ),
        0, $X$7/(5-H9)))</f>
        <v>0.30833333333333335</v>
      </c>
      <c r="H9" s="86">
        <f>SUMPRODUCT(COUNTIFS(Maj!$A$9:$A$39,$A9,Maj!$D$9:$D$39,"&lt;7",Maj!$F$9:$F$39,"F")+COUNTIFS($A$9:$A$38,$A9,$D$9:$D$38,"&lt;7",$F$9:$F$38,"F")+COUNTIFS(Juli!$A$9:$A$39,$A9,Juli!$D$9:$D$39,"&lt;7",Juli!$F$9:$F$39,"F"))</f>
        <v>0</v>
      </c>
      <c r="I9" s="11">
        <v>0</v>
      </c>
      <c r="J9" s="11">
        <v>0</v>
      </c>
      <c r="K9" s="11">
        <v>0</v>
      </c>
      <c r="L9" s="26" t="str">
        <f t="shared" ref="L9:L15" si="1">IF($F9="F","00:00",
IF($F9="N",TEXT($G9,"[tt]:mm"),
IF($I9&lt;&gt;0,TEXT($I9,"[tt]:mm"),
IF($K9-$J9&gt;=0,
TEXT($K9-$J9,"[tt]:mm"),
"-"&amp;TEXT(ABS($K9-$J9),"[tt]:mm")))))</f>
        <v>07:24</v>
      </c>
      <c r="M9" s="26" t="str">
        <f>IF(OR(F9="N",F9="F"),"0:00",
IF(
OR(
AND(Masterdata!$B$4&lt;&gt;DATE(1900,1,0),Masterdata!$B$4&lt;$E9),
AND(Masterdata!$B$3&lt;&gt;DATE(1900,1,0),Masterdata!$B$3&gt;$E9)
),"0:00",
IF(
$I9&gt;TIME(0,0,0),
IF(
NOT(OR($C9="mandag",$C9="tirsdag",$C9="onsdag",$C9="torsdag",$C9="fredag")),
TEXT($I9,"[tt]:mm"),
IF($I9-$G9&gt;=0,TEXT($I9-$G9,"[tt]:mm"),"-"&amp;TEXT(ABS($I9-$G9),"[tt]:mm"))
),
IF(
NOT(OR($C9="mandag",$C9="tirsdag",$C9="onsdag",$C9="torsdag",$C9="fredag")),
IF($K9-$J9&gt;=0,TEXT($K9-$J9,"[tt]:mm"),"-"&amp;TEXT(ABS($K9-$J9),"[tt]:mm")),
IF(
$K9-$J9-$G9&gt;=0,
TEXT($K9-$J9-$G9,"[tt]:mm"),
"-"&amp;TEXT(ABS($K9-$J9-$G9),"[tt]:mm")
)
)
)
))</f>
        <v>0:00</v>
      </c>
      <c r="N9" s="71" t="str">
        <f>LEFT(M9,1)</f>
        <v>0</v>
      </c>
      <c r="O9" s="25" t="str">
        <f>IF($N9="-",LEFT($M9,3),LEFT($M9,2))</f>
        <v>0:</v>
      </c>
      <c r="P9" s="52" t="str">
        <f>IF($N9="-",MID($M9,5,2),MID($M9,4,2))</f>
        <v>0</v>
      </c>
      <c r="Q9" s="53">
        <f>P9/60</f>
        <v>0</v>
      </c>
      <c r="R9" s="30">
        <f>IF(N9="-",O9-Q9,O9+Q9)</f>
        <v>0</v>
      </c>
      <c r="S9" s="109"/>
      <c r="T9" s="109"/>
      <c r="U9" s="29"/>
      <c r="V9" s="29"/>
      <c r="W9" s="29" t="s">
        <v>42</v>
      </c>
      <c r="X9" s="72">
        <f>$B$1/X8</f>
        <v>7.4</v>
      </c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</row>
    <row r="10" spans="1:45" x14ac:dyDescent="0.3">
      <c r="A10" s="7">
        <f t="shared" ref="A10:A38" si="2">WEEKNUM($B10,21)</f>
        <v>23</v>
      </c>
      <c r="B10" s="8">
        <f>B9+1</f>
        <v>46175</v>
      </c>
      <c r="C10" s="9" t="str" cm="1">
        <f t="array" ref="C10">_xlfn.XLOOKUP(E10,Masterdata!$B$31:$B$44,Masterdata!$A$31:$A$44,_xlfn.SWITCH(WEEKDAY($D10, 2), 1, "mandag", 2, "tirsdag", 3, "onsdag", 4, "torsdag", 5, "fredag", 6, "lørdag", 7, "søndag"),0)</f>
        <v>tirsdag</v>
      </c>
      <c r="D10" s="29">
        <f t="shared" si="0"/>
        <v>3</v>
      </c>
      <c r="E10" s="70">
        <f t="shared" ref="E10:E38" si="3">$B10</f>
        <v>46175</v>
      </c>
      <c r="F10" s="10" t="s">
        <v>23</v>
      </c>
      <c r="G10" s="12">
        <f>IF(OR(AND(F10="N",NOT(OR(C10="mandag",C10="tirsdag",C10="onsdag",C10="torsdag",C10="fredag"))),F10="F"),0,
        IF(OR(
            AND(Masterdata!$B$4&lt;&gt;DATE(1900,1,0), Masterdata!$B$4&lt;$E10),
            AND(Masterdata!$B$3&lt;&gt;DATE(1900,1,0), Masterdata!$B$3&gt;$E10)
        ),
        0, $X$7/(5-H10)))</f>
        <v>0.30833333333333335</v>
      </c>
      <c r="H10" s="86">
        <f>SUMPRODUCT(COUNTIFS(Maj!$A$9:$A$39,$A10,Maj!$D$9:$D$39,"&lt;7",Maj!$F$9:$F$39,"F")+COUNTIFS($A$9:$A$38,$A10,$D$9:$D$38,"&lt;7",$F$9:$F$38,"F")+COUNTIFS(Juli!$A$9:$A$39,$A10,Juli!$D$9:$D$39,"&lt;7",Juli!$F$9:$F$39,"F"))</f>
        <v>0</v>
      </c>
      <c r="I10" s="11">
        <v>0</v>
      </c>
      <c r="J10" s="11">
        <v>0</v>
      </c>
      <c r="K10" s="11">
        <v>0</v>
      </c>
      <c r="L10" s="26" t="str">
        <f t="shared" si="1"/>
        <v>07:24</v>
      </c>
      <c r="M10" s="26" t="str">
        <f>IF(OR(F10="N",F10="F"),"0:00",
IF(
OR(
AND(Masterdata!$B$4&lt;&gt;DATE(1900,1,0),Masterdata!$B$4&lt;$E10),
AND(Masterdata!$B$3&lt;&gt;DATE(1900,1,0),Masterdata!$B$3&gt;$E10)
),"0:00",
IF(
$I10&gt;TIME(0,0,0),
IF(
NOT(OR($C10="mandag",$C10="tirsdag",$C10="onsdag",$C10="torsdag",$C10="fredag")),
TEXT($I10,"[tt]:mm"),
IF($I10-$G10&gt;=0,TEXT($I10-$G10,"[tt]:mm"),"-"&amp;TEXT(ABS($I10-$G10),"[tt]:mm"))
),
IF(
NOT(OR($C10="mandag",$C10="tirsdag",$C10="onsdag",$C10="torsdag",$C10="fredag")),
IF($K10-$J10&gt;=0,TEXT($K10-$J10,"[tt]:mm"),"-"&amp;TEXT(ABS($K10-$J10),"[tt]:mm")),
IF(
$K10-$J10-$G10&gt;=0,
TEXT($K10-$J10-$G10,"[tt]:mm"),
"-"&amp;TEXT(ABS($K10-$J10-$G10),"[tt]:mm")
)
)
)
))</f>
        <v>0:00</v>
      </c>
      <c r="N10" s="71" t="str">
        <f t="shared" ref="N10:N20" si="4">LEFT(M10,1)</f>
        <v>0</v>
      </c>
      <c r="O10" s="25" t="str">
        <f t="shared" ref="O10:O38" si="5">IF($N10="-",LEFT($M10,3),LEFT($M10,2))</f>
        <v>0:</v>
      </c>
      <c r="P10" s="52" t="str">
        <f t="shared" ref="P10:P38" si="6">IF($N10="-",MID($M10,5,2),MID($M10,4,2))</f>
        <v>0</v>
      </c>
      <c r="Q10" s="53">
        <f t="shared" ref="Q10:Q14" si="7">P10/60</f>
        <v>0</v>
      </c>
      <c r="R10" s="30">
        <f t="shared" ref="R10:R14" si="8">IF(N10="-",O10-Q10,O10+Q10)</f>
        <v>0</v>
      </c>
      <c r="S10" s="109"/>
      <c r="T10" s="109"/>
      <c r="U10" s="29"/>
      <c r="V10" s="29"/>
      <c r="W10" s="29" t="s">
        <v>43</v>
      </c>
      <c r="X10" s="73">
        <f>X9/24</f>
        <v>0.30833333333333335</v>
      </c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</row>
    <row r="11" spans="1:45" x14ac:dyDescent="0.3">
      <c r="A11" s="7">
        <f t="shared" si="2"/>
        <v>23</v>
      </c>
      <c r="B11" s="8">
        <f t="shared" ref="B11:B38" si="9">B10+1</f>
        <v>46176</v>
      </c>
      <c r="C11" s="9" t="str" cm="1">
        <f t="array" ref="C11">_xlfn.XLOOKUP(E11,Masterdata!$B$31:$B$44,Masterdata!$A$31:$A$44,_xlfn.SWITCH(WEEKDAY($D11, 2), 1, "mandag", 2, "tirsdag", 3, "onsdag", 4, "torsdag", 5, "fredag", 6, "lørdag", 7, "søndag"),0)</f>
        <v>onsdag</v>
      </c>
      <c r="D11" s="29">
        <f t="shared" si="0"/>
        <v>4</v>
      </c>
      <c r="E11" s="70">
        <f t="shared" si="3"/>
        <v>46176</v>
      </c>
      <c r="F11" s="10" t="s">
        <v>23</v>
      </c>
      <c r="G11" s="12">
        <f>IF(OR(AND(F11="N",NOT(OR(C11="mandag",C11="tirsdag",C11="onsdag",C11="torsdag",C11="fredag"))),F11="F"),0,
        IF(OR(
            AND(Masterdata!$B$4&lt;&gt;DATE(1900,1,0), Masterdata!$B$4&lt;$E11),
            AND(Masterdata!$B$3&lt;&gt;DATE(1900,1,0), Masterdata!$B$3&gt;$E11)
        ),
        0, $X$7/(5-H11)))</f>
        <v>0.30833333333333335</v>
      </c>
      <c r="H11" s="86">
        <f>SUMPRODUCT(COUNTIFS(Maj!$A$9:$A$39,$A11,Maj!$D$9:$D$39,"&lt;7",Maj!$F$9:$F$39,"F")+COUNTIFS($A$9:$A$38,$A11,$D$9:$D$38,"&lt;7",$F$9:$F$38,"F")+COUNTIFS(Juli!$A$9:$A$39,$A11,Juli!$D$9:$D$39,"&lt;7",Juli!$F$9:$F$39,"F"))</f>
        <v>0</v>
      </c>
      <c r="I11" s="11">
        <v>0</v>
      </c>
      <c r="J11" s="11">
        <v>0</v>
      </c>
      <c r="K11" s="11">
        <v>0</v>
      </c>
      <c r="L11" s="26" t="str">
        <f t="shared" si="1"/>
        <v>07:24</v>
      </c>
      <c r="M11" s="26" t="str">
        <f>IF(OR(F11="N",F11="F"),"0:00",
IF(
OR(
AND(Masterdata!$B$4&lt;&gt;DATE(1900,1,0),Masterdata!$B$4&lt;$E11),
AND(Masterdata!$B$3&lt;&gt;DATE(1900,1,0),Masterdata!$B$3&gt;$E11)
),"0:00",
IF(
$I11&gt;TIME(0,0,0),
IF(
NOT(OR($C11="mandag",$C11="tirsdag",$C11="onsdag",$C11="torsdag",$C11="fredag")),
TEXT($I11,"[tt]:mm"),
IF($I11-$G11&gt;=0,TEXT($I11-$G11,"[tt]:mm"),"-"&amp;TEXT(ABS($I11-$G11),"[tt]:mm"))
),
IF(
NOT(OR($C11="mandag",$C11="tirsdag",$C11="onsdag",$C11="torsdag",$C11="fredag")),
IF($K11-$J11&gt;=0,TEXT($K11-$J11,"[tt]:mm"),"-"&amp;TEXT(ABS($K11-$J11),"[tt]:mm")),
IF(
$K11-$J11-$G11&gt;=0,
TEXT($K11-$J11-$G11,"[tt]:mm"),
"-"&amp;TEXT(ABS($K11-$J11-$G11),"[tt]:mm")
)
)
)
))</f>
        <v>0:00</v>
      </c>
      <c r="N11" s="71" t="str">
        <f t="shared" si="4"/>
        <v>0</v>
      </c>
      <c r="O11" s="25" t="str">
        <f t="shared" si="5"/>
        <v>0:</v>
      </c>
      <c r="P11" s="52" t="str">
        <f t="shared" si="6"/>
        <v>0</v>
      </c>
      <c r="Q11" s="53">
        <f t="shared" si="7"/>
        <v>0</v>
      </c>
      <c r="R11" s="30">
        <f t="shared" si="8"/>
        <v>0</v>
      </c>
      <c r="S11" s="109"/>
      <c r="T11" s="109"/>
      <c r="U11" s="29" t="s">
        <v>23</v>
      </c>
      <c r="V11" s="29" t="s">
        <v>44</v>
      </c>
      <c r="W11" s="29" t="s">
        <v>45</v>
      </c>
      <c r="X11" s="30">
        <f>(B1/37)*160.33</f>
        <v>160.33000000000001</v>
      </c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</row>
    <row r="12" spans="1:45" x14ac:dyDescent="0.3">
      <c r="A12" s="7">
        <f t="shared" si="2"/>
        <v>23</v>
      </c>
      <c r="B12" s="8">
        <f t="shared" si="9"/>
        <v>46177</v>
      </c>
      <c r="C12" s="9" t="str" cm="1">
        <f t="array" ref="C12">_xlfn.XLOOKUP(E12,Masterdata!$B$31:$B$44,Masterdata!$A$31:$A$44,_xlfn.SWITCH(WEEKDAY($D12, 2), 1, "mandag", 2, "tirsdag", 3, "onsdag", 4, "torsdag", 5, "fredag", 6, "lørdag", 7, "søndag"),0)</f>
        <v>torsdag</v>
      </c>
      <c r="D12" s="29">
        <f t="shared" si="0"/>
        <v>5</v>
      </c>
      <c r="E12" s="70">
        <f t="shared" si="3"/>
        <v>46177</v>
      </c>
      <c r="F12" s="10" t="s">
        <v>23</v>
      </c>
      <c r="G12" s="12">
        <f>IF(OR(AND(F12="N",NOT(OR(C12="mandag",C12="tirsdag",C12="onsdag",C12="torsdag",C12="fredag"))),F12="F"),0,
        IF(OR(
            AND(Masterdata!$B$4&lt;&gt;DATE(1900,1,0), Masterdata!$B$4&lt;$E12),
            AND(Masterdata!$B$3&lt;&gt;DATE(1900,1,0), Masterdata!$B$3&gt;$E12)
        ),
        0, $X$7/(5-H12)))</f>
        <v>0.30833333333333335</v>
      </c>
      <c r="H12" s="86">
        <f>SUMPRODUCT(COUNTIFS(Maj!$A$9:$A$39,$A12,Maj!$D$9:$D$39,"&lt;7",Maj!$F$9:$F$39,"F")+COUNTIFS($A$9:$A$38,$A12,$D$9:$D$38,"&lt;7",$F$9:$F$38,"F")+COUNTIFS(Juli!$A$9:$A$39,$A12,Juli!$D$9:$D$39,"&lt;7",Juli!$F$9:$F$39,"F"))</f>
        <v>0</v>
      </c>
      <c r="I12" s="11">
        <v>0</v>
      </c>
      <c r="J12" s="11">
        <v>0</v>
      </c>
      <c r="K12" s="11">
        <v>0</v>
      </c>
      <c r="L12" s="26" t="str">
        <f t="shared" si="1"/>
        <v>07:24</v>
      </c>
      <c r="M12" s="26" t="str">
        <f>IF(OR(F12="N",F12="F"),"0:00",
IF(
OR(
AND(Masterdata!$B$4&lt;&gt;DATE(1900,1,0),Masterdata!$B$4&lt;$E12),
AND(Masterdata!$B$3&lt;&gt;DATE(1900,1,0),Masterdata!$B$3&gt;$E12)
),"0:00",
IF(
$I12&gt;TIME(0,0,0),
IF(
NOT(OR($C12="mandag",$C12="tirsdag",$C12="onsdag",$C12="torsdag",$C12="fredag")),
TEXT($I12,"[tt]:mm"),
IF($I12-$G12&gt;=0,TEXT($I12-$G12,"[tt]:mm"),"-"&amp;TEXT(ABS($I12-$G12),"[tt]:mm"))
),
IF(
NOT(OR($C12="mandag",$C12="tirsdag",$C12="onsdag",$C12="torsdag",$C12="fredag")),
IF($K12-$J12&gt;=0,TEXT($K12-$J12,"[tt]:mm"),"-"&amp;TEXT(ABS($K12-$J12),"[tt]:mm")),
IF(
$K12-$J12-$G12&gt;=0,
TEXT($K12-$J12-$G12,"[tt]:mm"),
"-"&amp;TEXT(ABS($K12-$J12-$G12),"[tt]:mm")
)
)
)
))</f>
        <v>0:00</v>
      </c>
      <c r="N12" s="71" t="str">
        <f t="shared" si="4"/>
        <v>0</v>
      </c>
      <c r="O12" s="25" t="str">
        <f t="shared" si="5"/>
        <v>0:</v>
      </c>
      <c r="P12" s="52" t="str">
        <f t="shared" si="6"/>
        <v>0</v>
      </c>
      <c r="Q12" s="53">
        <f t="shared" si="7"/>
        <v>0</v>
      </c>
      <c r="R12" s="30">
        <f t="shared" si="8"/>
        <v>0</v>
      </c>
      <c r="S12" s="109"/>
      <c r="T12" s="10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</row>
    <row r="13" spans="1:45" x14ac:dyDescent="0.3">
      <c r="A13" s="7">
        <f t="shared" si="2"/>
        <v>23</v>
      </c>
      <c r="B13" s="8">
        <f t="shared" si="9"/>
        <v>46178</v>
      </c>
      <c r="C13" s="9" t="str" cm="1">
        <f t="array" ref="C13">_xlfn.XLOOKUP(E13,Masterdata!$B$31:$B$44,Masterdata!$A$31:$A$44,_xlfn.SWITCH(WEEKDAY($D13, 2), 1, "mandag", 2, "tirsdag", 3, "onsdag", 4, "torsdag", 5, "fredag", 6, "lørdag", 7, "søndag"),0)</f>
        <v>grundlovsdag</v>
      </c>
      <c r="D13" s="29">
        <f t="shared" si="0"/>
        <v>6</v>
      </c>
      <c r="E13" s="70">
        <f t="shared" si="3"/>
        <v>46178</v>
      </c>
      <c r="F13" s="10" t="s">
        <v>23</v>
      </c>
      <c r="G13" s="12">
        <f>IF(OR(AND(F13="N",NOT(OR(C13="mandag",C13="tirsdag",C13="onsdag",C13="torsdag",C13="fredag"))),F13="F"),0,
        IF(OR(
            AND(Masterdata!$B$4&lt;&gt;DATE(1900,1,0), Masterdata!$B$4&lt;$E13),
            AND(Masterdata!$B$3&lt;&gt;DATE(1900,1,0), Masterdata!$B$3&gt;$E13)
        ),
        0, $X$7/(5-H13)))</f>
        <v>0</v>
      </c>
      <c r="H13" s="86">
        <f>SUMPRODUCT(COUNTIFS(Maj!$A$9:$A$39,$A13,Maj!$D$9:$D$39,"&lt;7",Maj!$F$9:$F$39,"F")+COUNTIFS($A$9:$A$38,$A13,$D$9:$D$38,"&lt;7",$F$9:$F$38,"F")+COUNTIFS(Juli!$A$9:$A$39,$A13,Juli!$D$9:$D$39,"&lt;7",Juli!$F$9:$F$39,"F"))</f>
        <v>0</v>
      </c>
      <c r="I13" s="11">
        <v>0</v>
      </c>
      <c r="J13" s="11">
        <v>0</v>
      </c>
      <c r="K13" s="11">
        <v>0</v>
      </c>
      <c r="L13" s="26" t="str">
        <f t="shared" si="1"/>
        <v>00:00</v>
      </c>
      <c r="M13" s="26" t="str">
        <f>IF(OR(F13="N",F13="F"),"0:00",
IF(
OR(
AND(Masterdata!$B$4&lt;&gt;DATE(1900,1,0),Masterdata!$B$4&lt;$E13),
AND(Masterdata!$B$3&lt;&gt;DATE(1900,1,0),Masterdata!$B$3&gt;$E13)
),"0:00",
IF(
$I13&gt;TIME(0,0,0),
IF(
NOT(OR($C13="mandag",$C13="tirsdag",$C13="onsdag",$C13="torsdag",$C13="fredag")),
TEXT($I13,"[tt]:mm"),
IF($I13-$G13&gt;=0,TEXT($I13-$G13,"[tt]:mm"),"-"&amp;TEXT(ABS($I13-$G13),"[tt]:mm"))
),
IF(
NOT(OR($C13="mandag",$C13="tirsdag",$C13="onsdag",$C13="torsdag",$C13="fredag")),
IF($K13-$J13&gt;=0,TEXT($K13-$J13,"[tt]:mm"),"-"&amp;TEXT(ABS($K13-$J13),"[tt]:mm")),
IF(
$K13-$J13-$G13&gt;=0,
TEXT($K13-$J13-$G13,"[tt]:mm"),
"-"&amp;TEXT(ABS($K13-$J13-$G13),"[tt]:mm")
)
)
)
))</f>
        <v>0:00</v>
      </c>
      <c r="N13" s="71" t="str">
        <f t="shared" si="4"/>
        <v>0</v>
      </c>
      <c r="O13" s="25" t="str">
        <f t="shared" si="5"/>
        <v>0:</v>
      </c>
      <c r="P13" s="52" t="str">
        <f t="shared" si="6"/>
        <v>0</v>
      </c>
      <c r="Q13" s="53">
        <f t="shared" si="7"/>
        <v>0</v>
      </c>
      <c r="R13" s="30">
        <f t="shared" si="8"/>
        <v>0</v>
      </c>
      <c r="S13" s="109"/>
      <c r="T13" s="109"/>
      <c r="U13" s="29"/>
      <c r="V13" s="29"/>
      <c r="W13" s="29"/>
      <c r="X13" s="30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</row>
    <row r="14" spans="1:45" x14ac:dyDescent="0.3">
      <c r="A14" s="7">
        <f t="shared" si="2"/>
        <v>23</v>
      </c>
      <c r="B14" s="8">
        <f t="shared" si="9"/>
        <v>46179</v>
      </c>
      <c r="C14" s="9" t="str" cm="1">
        <f t="array" ref="C14">_xlfn.XLOOKUP(E14,Masterdata!$B$31:$B$44,Masterdata!$A$31:$A$44,_xlfn.SWITCH(WEEKDAY($D14, 2), 1, "mandag", 2, "tirsdag", 3, "onsdag", 4, "torsdag", 5, "fredag", 6, "lørdag", 7, "søndag"),0)</f>
        <v>lørdag</v>
      </c>
      <c r="D14" s="29">
        <f t="shared" si="0"/>
        <v>7</v>
      </c>
      <c r="E14" s="70">
        <f t="shared" si="3"/>
        <v>46179</v>
      </c>
      <c r="F14" s="10" t="s">
        <v>23</v>
      </c>
      <c r="G14" s="12">
        <f>IF(OR(AND(F14="N",NOT(OR(C14="mandag",C14="tirsdag",C14="onsdag",C14="torsdag",C14="fredag"))),F14="F"),0,
        IF(OR(
            AND(Masterdata!$B$4&lt;&gt;DATE(1900,1,0), Masterdata!$B$4&lt;$E14),
            AND(Masterdata!$B$3&lt;&gt;DATE(1900,1,0), Masterdata!$B$3&gt;$E14)
        ),
        0, $X$7/(5-H14)))</f>
        <v>0</v>
      </c>
      <c r="H14" s="86">
        <f>SUMPRODUCT(COUNTIFS(Maj!$A$9:$A$39,$A14,Maj!$D$9:$D$39,"&lt;7",Maj!$F$9:$F$39,"F")+COUNTIFS($A$9:$A$38,$A14,$D$9:$D$38,"&lt;7",$F$9:$F$38,"F")+COUNTIFS(Juli!$A$9:$A$39,$A14,Juli!$D$9:$D$39,"&lt;7",Juli!$F$9:$F$39,"F"))</f>
        <v>0</v>
      </c>
      <c r="I14" s="11">
        <v>0</v>
      </c>
      <c r="J14" s="11">
        <v>0</v>
      </c>
      <c r="K14" s="11">
        <v>0</v>
      </c>
      <c r="L14" s="26" t="str">
        <f t="shared" si="1"/>
        <v>00:00</v>
      </c>
      <c r="M14" s="26" t="str">
        <f>IF(OR(F14="N",F14="F"),"0:00",
IF(
OR(
AND(Masterdata!$B$4&lt;&gt;DATE(1900,1,0),Masterdata!$B$4&lt;$E14),
AND(Masterdata!$B$3&lt;&gt;DATE(1900,1,0),Masterdata!$B$3&gt;$E14)
),"0:00",
IF(
$I14&gt;TIME(0,0,0),
IF(
NOT(OR($C14="mandag",$C14="tirsdag",$C14="onsdag",$C14="torsdag",$C14="fredag")),
TEXT($I14,"[tt]:mm"),
IF($I14-$G14&gt;=0,TEXT($I14-$G14,"[tt]:mm"),"-"&amp;TEXT(ABS($I14-$G14),"[tt]:mm"))
),
IF(
NOT(OR($C14="mandag",$C14="tirsdag",$C14="onsdag",$C14="torsdag",$C14="fredag")),
IF($K14-$J14&gt;=0,TEXT($K14-$J14,"[tt]:mm"),"-"&amp;TEXT(ABS($K14-$J14),"[tt]:mm")),
IF(
$K14-$J14-$G14&gt;=0,
TEXT($K14-$J14-$G14,"[tt]:mm"),
"-"&amp;TEXT(ABS($K14-$J14-$G14),"[tt]:mm")
)
)
)
))</f>
        <v>0:00</v>
      </c>
      <c r="N14" s="71" t="str">
        <f t="shared" si="4"/>
        <v>0</v>
      </c>
      <c r="O14" s="25" t="str">
        <f t="shared" si="5"/>
        <v>0:</v>
      </c>
      <c r="P14" s="52" t="str">
        <f t="shared" si="6"/>
        <v>0</v>
      </c>
      <c r="Q14" s="53">
        <f t="shared" si="7"/>
        <v>0</v>
      </c>
      <c r="R14" s="30">
        <f t="shared" si="8"/>
        <v>0</v>
      </c>
      <c r="S14" s="98"/>
      <c r="T14" s="98"/>
      <c r="U14" s="29"/>
      <c r="V14" s="29"/>
      <c r="W14" s="29"/>
      <c r="X14" s="74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</row>
    <row r="15" spans="1:45" x14ac:dyDescent="0.3">
      <c r="A15" s="7">
        <f t="shared" si="2"/>
        <v>23</v>
      </c>
      <c r="B15" s="8">
        <f t="shared" si="9"/>
        <v>46180</v>
      </c>
      <c r="C15" s="9" t="str" cm="1">
        <f t="array" ref="C15">_xlfn.XLOOKUP(E15,Masterdata!$B$31:$B$44,Masterdata!$A$31:$A$44,_xlfn.SWITCH(WEEKDAY($D15, 2), 1, "mandag", 2, "tirsdag", 3, "onsdag", 4, "torsdag", 5, "fredag", 6, "lørdag", 7, "søndag"),0)</f>
        <v>søndag</v>
      </c>
      <c r="D15" s="29">
        <f t="shared" si="0"/>
        <v>8</v>
      </c>
      <c r="E15" s="70">
        <f t="shared" si="3"/>
        <v>46180</v>
      </c>
      <c r="F15" s="10" t="s">
        <v>23</v>
      </c>
      <c r="G15" s="12">
        <f>IF(OR(AND(F15="N",NOT(OR(C15="mandag",C15="tirsdag",C15="onsdag",C15="torsdag",C15="fredag"))),F15="F"),0,
        IF(OR(
            AND(Masterdata!$B$4&lt;&gt;DATE(1900,1,0), Masterdata!$B$4&lt;$E15),
            AND(Masterdata!$B$3&lt;&gt;DATE(1900,1,0), Masterdata!$B$3&gt;$E15)
        ),
        0, $X$7/(5-H15)))</f>
        <v>0</v>
      </c>
      <c r="H15" s="86">
        <f>SUMPRODUCT(COUNTIFS(Maj!$A$9:$A$39,$A15,Maj!$D$9:$D$39,"&lt;7",Maj!$F$9:$F$39,"F")+COUNTIFS($A$9:$A$38,$A15,$D$9:$D$38,"&lt;7",$F$9:$F$38,"F")+COUNTIFS(Juli!$A$9:$A$39,$A15,Juli!$D$9:$D$39,"&lt;7",Juli!$F$9:$F$39,"F"))</f>
        <v>0</v>
      </c>
      <c r="I15" s="11">
        <v>0</v>
      </c>
      <c r="J15" s="11">
        <v>0</v>
      </c>
      <c r="K15" s="11">
        <v>0</v>
      </c>
      <c r="L15" s="26" t="str">
        <f t="shared" si="1"/>
        <v>00:00</v>
      </c>
      <c r="M15" s="26" t="str">
        <f>IF(OR(F15="N",F15="F"),"0:00",
IF(
OR(
AND(Masterdata!$B$4&lt;&gt;DATE(1900,1,0),Masterdata!$B$4&lt;$E15),
AND(Masterdata!$B$3&lt;&gt;DATE(1900,1,0),Masterdata!$B$3&gt;$E15)
),"0:00",
IF(
$I15&gt;TIME(0,0,0),
IF(
NOT(OR($C15="mandag",$C15="tirsdag",$C15="onsdag",$C15="torsdag",$C15="fredag")),
TEXT($I15,"[tt]:mm"),
IF($I15-$G15&gt;=0,TEXT($I15-$G15,"[tt]:mm"),"-"&amp;TEXT(ABS($I15-$G15),"[tt]:mm"))
),
IF(
NOT(OR($C15="mandag",$C15="tirsdag",$C15="onsdag",$C15="torsdag",$C15="fredag")),
IF($K15-$J15&gt;=0,TEXT($K15-$J15,"[tt]:mm"),"-"&amp;TEXT(ABS($K15-$J15),"[tt]:mm")),
IF(
$K15-$J15-$G15&gt;=0,
TEXT($K15-$J15-$G15,"[tt]:mm"),
"-"&amp;TEXT(ABS($K15-$J15-$G15),"[tt]:mm")
)
)
)
))</f>
        <v>0:00</v>
      </c>
      <c r="N15" s="71" t="str">
        <f t="shared" si="4"/>
        <v>0</v>
      </c>
      <c r="O15" s="25" t="str">
        <f t="shared" si="5"/>
        <v>0:</v>
      </c>
      <c r="P15" s="52" t="str">
        <f t="shared" si="6"/>
        <v>0</v>
      </c>
      <c r="Q15" s="53">
        <f>P15/60</f>
        <v>0</v>
      </c>
      <c r="R15" s="30">
        <f>IF(N15="-",O15-Q15,O15+Q15)</f>
        <v>0</v>
      </c>
      <c r="S15" s="98"/>
      <c r="T15" s="98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</row>
    <row r="16" spans="1:45" x14ac:dyDescent="0.3">
      <c r="A16" s="7">
        <f t="shared" si="2"/>
        <v>24</v>
      </c>
      <c r="B16" s="8">
        <f t="shared" si="9"/>
        <v>46181</v>
      </c>
      <c r="C16" s="9" t="str" cm="1">
        <f t="array" ref="C16">_xlfn.XLOOKUP(E16,Masterdata!$B$31:$B$44,Masterdata!$A$31:$A$44,_xlfn.SWITCH(WEEKDAY($D16, 2), 1, "mandag", 2, "tirsdag", 3, "onsdag", 4, "torsdag", 5, "fredag", 6, "lørdag", 7, "søndag"),0)</f>
        <v>mandag</v>
      </c>
      <c r="D16" s="29">
        <f t="shared" si="0"/>
        <v>2</v>
      </c>
      <c r="E16" s="70">
        <f t="shared" si="3"/>
        <v>46181</v>
      </c>
      <c r="F16" s="10" t="s">
        <v>23</v>
      </c>
      <c r="G16" s="12">
        <f>IF(OR(AND(F16="N",NOT(OR(C16="mandag",C16="tirsdag",C16="onsdag",C16="torsdag",C16="fredag"))),F16="F"),0,
        IF(OR(
            AND(Masterdata!$B$4&lt;&gt;DATE(1900,1,0), Masterdata!$B$4&lt;$E16),
            AND(Masterdata!$B$3&lt;&gt;DATE(1900,1,0), Masterdata!$B$3&gt;$E16)
        ),
        0, $X$7/(5-H16)))</f>
        <v>0.30833333333333335</v>
      </c>
      <c r="H16" s="86">
        <f>SUMPRODUCT(COUNTIFS(Maj!$A$9:$A$39,$A16,Maj!$D$9:$D$39,"&lt;7",Maj!$F$9:$F$39,"F")+COUNTIFS($A$9:$A$38,$A16,$D$9:$D$38,"&lt;7",$F$9:$F$38,"F")+COUNTIFS(Juli!$A$9:$A$39,$A16,Juli!$D$9:$D$39,"&lt;7",Juli!$F$9:$F$39,"F"))</f>
        <v>0</v>
      </c>
      <c r="I16" s="11">
        <v>0</v>
      </c>
      <c r="J16" s="11">
        <v>0</v>
      </c>
      <c r="K16" s="11">
        <v>0</v>
      </c>
      <c r="L16" s="26" t="str">
        <f>IF($F16="F","00:00",
IF($F16="N",TEXT($G16,"[tt]:mm"),
IF($I16&lt;&gt;0,TEXT($I16,"[tt]:mm"),
IF($K16-$J16&gt;=0,
TEXT($K16-$J16,"[tt]:mm"),
"-"&amp;TEXT(ABS($K16-$J16),"[tt]:mm")))))</f>
        <v>07:24</v>
      </c>
      <c r="M16" s="26" t="str">
        <f>IF(OR(F16="N",F16="F"),"0:00",
IF(
OR(
AND(Masterdata!$B$4&lt;&gt;DATE(1900,1,0),Masterdata!$B$4&lt;$E16),
AND(Masterdata!$B$3&lt;&gt;DATE(1900,1,0),Masterdata!$B$3&gt;$E16)
),"0:00",
IF(
$I16&gt;TIME(0,0,0),
IF(
NOT(OR($C16="mandag",$C16="tirsdag",$C16="onsdag",$C16="torsdag",$C16="fredag")),
TEXT($I16,"[tt]:mm"),
IF($I16-$G16&gt;=0,TEXT($I16-$G16,"[tt]:mm"),"-"&amp;TEXT(ABS($I16-$G16),"[tt]:mm"))
),
IF(
NOT(OR($C16="mandag",$C16="tirsdag",$C16="onsdag",$C16="torsdag",$C16="fredag")),
IF($K16-$J16&gt;=0,TEXT($K16-$J16,"[tt]:mm"),"-"&amp;TEXT(ABS($K16-$J16),"[tt]:mm")),
IF(
$K16-$J16-$G16&gt;=0,
TEXT($K16-$J16-$G16,"[tt]:mm"),
"-"&amp;TEXT(ABS($K16-$J16-$G16),"[tt]:mm")
)
)
)
))</f>
        <v>0:00</v>
      </c>
      <c r="N16" s="71" t="str">
        <f t="shared" si="4"/>
        <v>0</v>
      </c>
      <c r="O16" s="25" t="str">
        <f t="shared" si="5"/>
        <v>0:</v>
      </c>
      <c r="P16" s="52" t="str">
        <f t="shared" si="6"/>
        <v>0</v>
      </c>
      <c r="Q16" s="53">
        <f t="shared" ref="Q16:Q38" si="10">P16/60</f>
        <v>0</v>
      </c>
      <c r="R16" s="30">
        <f t="shared" ref="R16:R20" si="11">IF(N16="-",O16-Q16,O16+Q16)</f>
        <v>0</v>
      </c>
      <c r="S16" s="98"/>
      <c r="T16" s="98"/>
      <c r="U16" s="29" t="s">
        <v>46</v>
      </c>
      <c r="V16" s="29" t="s">
        <v>47</v>
      </c>
      <c r="W16" s="29" t="s">
        <v>48</v>
      </c>
      <c r="X16" s="30">
        <f>X11-X14</f>
        <v>160.33000000000001</v>
      </c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</row>
    <row r="17" spans="1:45" x14ac:dyDescent="0.3">
      <c r="A17" s="7">
        <f t="shared" si="2"/>
        <v>24</v>
      </c>
      <c r="B17" s="8">
        <f t="shared" si="9"/>
        <v>46182</v>
      </c>
      <c r="C17" s="9" t="str" cm="1">
        <f t="array" ref="C17">_xlfn.XLOOKUP(E17,Masterdata!$B$31:$B$44,Masterdata!$A$31:$A$44,_xlfn.SWITCH(WEEKDAY($D17, 2), 1, "mandag", 2, "tirsdag", 3, "onsdag", 4, "torsdag", 5, "fredag", 6, "lørdag", 7, "søndag"),0)</f>
        <v>tirsdag</v>
      </c>
      <c r="D17" s="29">
        <f t="shared" si="0"/>
        <v>3</v>
      </c>
      <c r="E17" s="70">
        <f t="shared" si="3"/>
        <v>46182</v>
      </c>
      <c r="F17" s="10" t="s">
        <v>23</v>
      </c>
      <c r="G17" s="12">
        <f>IF(OR(AND(F17="N",NOT(OR(C17="mandag",C17="tirsdag",C17="onsdag",C17="torsdag",C17="fredag"))),F17="F"),0,
        IF(OR(
            AND(Masterdata!$B$4&lt;&gt;DATE(1900,1,0), Masterdata!$B$4&lt;$E17),
            AND(Masterdata!$B$3&lt;&gt;DATE(1900,1,0), Masterdata!$B$3&gt;$E17)
        ),
        0, $X$7/(5-H17)))</f>
        <v>0.30833333333333335</v>
      </c>
      <c r="H17" s="86">
        <f>SUMPRODUCT(COUNTIFS(Maj!$A$9:$A$39,$A17,Maj!$D$9:$D$39,"&lt;7",Maj!$F$9:$F$39,"F")+COUNTIFS($A$9:$A$38,$A17,$D$9:$D$38,"&lt;7",$F$9:$F$38,"F")+COUNTIFS(Juli!$A$9:$A$39,$A17,Juli!$D$9:$D$39,"&lt;7",Juli!$F$9:$F$39,"F"))</f>
        <v>0</v>
      </c>
      <c r="I17" s="11">
        <v>0</v>
      </c>
      <c r="J17" s="11">
        <v>0</v>
      </c>
      <c r="K17" s="11">
        <v>0</v>
      </c>
      <c r="L17" s="26" t="str">
        <f t="shared" ref="L17:L38" si="12">IF($F17="F","00:00",
IF($F17="N",TEXT($G17,"[tt]:mm"),
IF($I17&lt;&gt;0,TEXT($I17,"[tt]:mm"),
IF($K17-$J17&gt;=0,
TEXT($K17-$J17,"[tt]:mm"),
"-"&amp;TEXT(ABS($K17-$J17),"[tt]:mm")))))</f>
        <v>07:24</v>
      </c>
      <c r="M17" s="26" t="str">
        <f>IF(OR(F17="N",F17="F"),"0:00",
IF(
OR(
AND(Masterdata!$B$4&lt;&gt;DATE(1900,1,0),Masterdata!$B$4&lt;$E17),
AND(Masterdata!$B$3&lt;&gt;DATE(1900,1,0),Masterdata!$B$3&gt;$E17)
),"0:00",
IF(
$I17&gt;TIME(0,0,0),
IF(
NOT(OR($C17="mandag",$C17="tirsdag",$C17="onsdag",$C17="torsdag",$C17="fredag")),
TEXT($I17,"[tt]:mm"),
IF($I17-$G17&gt;=0,TEXT($I17-$G17,"[tt]:mm"),"-"&amp;TEXT(ABS($I17-$G17),"[tt]:mm"))
),
IF(
NOT(OR($C17="mandag",$C17="tirsdag",$C17="onsdag",$C17="torsdag",$C17="fredag")),
IF($K17-$J17&gt;=0,TEXT($K17-$J17,"[tt]:mm"),"-"&amp;TEXT(ABS($K17-$J17),"[tt]:mm")),
IF(
$K17-$J17-$G17&gt;=0,
TEXT($K17-$J17-$G17,"[tt]:mm"),
"-"&amp;TEXT(ABS($K17-$J17-$G17),"[tt]:mm")
)
)
)
))</f>
        <v>0:00</v>
      </c>
      <c r="N17" s="71" t="str">
        <f t="shared" si="4"/>
        <v>0</v>
      </c>
      <c r="O17" s="25" t="str">
        <f t="shared" si="5"/>
        <v>0:</v>
      </c>
      <c r="P17" s="52" t="str">
        <f t="shared" si="6"/>
        <v>0</v>
      </c>
      <c r="Q17" s="53">
        <f t="shared" si="10"/>
        <v>0</v>
      </c>
      <c r="R17" s="30">
        <f t="shared" si="11"/>
        <v>0</v>
      </c>
      <c r="S17" s="98"/>
      <c r="T17" s="98"/>
      <c r="U17" s="29" t="s">
        <v>49</v>
      </c>
      <c r="V17" s="29" t="s">
        <v>50</v>
      </c>
      <c r="W17" s="29" t="s">
        <v>51</v>
      </c>
      <c r="X17" s="30" t="e">
        <f>SUM(#REF!)</f>
        <v>#REF!</v>
      </c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</row>
    <row r="18" spans="1:45" x14ac:dyDescent="0.3">
      <c r="A18" s="7">
        <f t="shared" si="2"/>
        <v>24</v>
      </c>
      <c r="B18" s="8">
        <f t="shared" si="9"/>
        <v>46183</v>
      </c>
      <c r="C18" s="9" t="str" cm="1">
        <f t="array" ref="C18">_xlfn.XLOOKUP(E18,Masterdata!$B$31:$B$44,Masterdata!$A$31:$A$44,_xlfn.SWITCH(WEEKDAY($D18, 2), 1, "mandag", 2, "tirsdag", 3, "onsdag", 4, "torsdag", 5, "fredag", 6, "lørdag", 7, "søndag"),0)</f>
        <v>onsdag</v>
      </c>
      <c r="D18" s="29">
        <f t="shared" si="0"/>
        <v>4</v>
      </c>
      <c r="E18" s="70">
        <f t="shared" si="3"/>
        <v>46183</v>
      </c>
      <c r="F18" s="10" t="s">
        <v>23</v>
      </c>
      <c r="G18" s="12">
        <f>IF(OR(AND(F18="N",NOT(OR(C18="mandag",C18="tirsdag",C18="onsdag",C18="torsdag",C18="fredag"))),F18="F"),0,
        IF(OR(
            AND(Masterdata!$B$4&lt;&gt;DATE(1900,1,0), Masterdata!$B$4&lt;$E18),
            AND(Masterdata!$B$3&lt;&gt;DATE(1900,1,0), Masterdata!$B$3&gt;$E18)
        ),
        0, $X$7/(5-H18)))</f>
        <v>0.30833333333333335</v>
      </c>
      <c r="H18" s="86">
        <f>SUMPRODUCT(COUNTIFS(Maj!$A$9:$A$39,$A18,Maj!$D$9:$D$39,"&lt;7",Maj!$F$9:$F$39,"F")+COUNTIFS($A$9:$A$38,$A18,$D$9:$D$38,"&lt;7",$F$9:$F$38,"F")+COUNTIFS(Juli!$A$9:$A$39,$A18,Juli!$D$9:$D$39,"&lt;7",Juli!$F$9:$F$39,"F"))</f>
        <v>0</v>
      </c>
      <c r="I18" s="11">
        <v>0</v>
      </c>
      <c r="J18" s="11">
        <v>0</v>
      </c>
      <c r="K18" s="11">
        <v>0</v>
      </c>
      <c r="L18" s="26" t="str">
        <f t="shared" si="12"/>
        <v>07:24</v>
      </c>
      <c r="M18" s="26" t="str">
        <f>IF(OR(F18="N",F18="F"),"0:00",
IF(
OR(
AND(Masterdata!$B$4&lt;&gt;DATE(1900,1,0),Masterdata!$B$4&lt;$E18),
AND(Masterdata!$B$3&lt;&gt;DATE(1900,1,0),Masterdata!$B$3&gt;$E18)
),"0:00",
IF(
$I18&gt;TIME(0,0,0),
IF(
NOT(OR($C18="mandag",$C18="tirsdag",$C18="onsdag",$C18="torsdag",$C18="fredag")),
TEXT($I18,"[tt]:mm"),
IF($I18-$G18&gt;=0,TEXT($I18-$G18,"[tt]:mm"),"-"&amp;TEXT(ABS($I18-$G18),"[tt]:mm"))
),
IF(
NOT(OR($C18="mandag",$C18="tirsdag",$C18="onsdag",$C18="torsdag",$C18="fredag")),
IF($K18-$J18&gt;=0,TEXT($K18-$J18,"[tt]:mm"),"-"&amp;TEXT(ABS($K18-$J18),"[tt]:mm")),
IF(
$K18-$J18-$G18&gt;=0,
TEXT($K18-$J18-$G18,"[tt]:mm"),
"-"&amp;TEXT(ABS($K18-$J18-$G18),"[tt]:mm")
)
)
)
))</f>
        <v>0:00</v>
      </c>
      <c r="N18" s="71" t="str">
        <f t="shared" si="4"/>
        <v>0</v>
      </c>
      <c r="O18" s="25" t="str">
        <f t="shared" si="5"/>
        <v>0:</v>
      </c>
      <c r="P18" s="52" t="str">
        <f t="shared" si="6"/>
        <v>0</v>
      </c>
      <c r="Q18" s="53">
        <f t="shared" si="10"/>
        <v>0</v>
      </c>
      <c r="R18" s="30">
        <f t="shared" si="11"/>
        <v>0</v>
      </c>
      <c r="S18" s="98"/>
      <c r="T18" s="98"/>
      <c r="U18" s="29" t="s">
        <v>25</v>
      </c>
      <c r="V18" s="29" t="s">
        <v>52</v>
      </c>
      <c r="W18" s="29" t="s">
        <v>53</v>
      </c>
      <c r="X18" s="30" t="e">
        <f>X16-X17</f>
        <v>#REF!</v>
      </c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</row>
    <row r="19" spans="1:45" x14ac:dyDescent="0.3">
      <c r="A19" s="7">
        <f t="shared" si="2"/>
        <v>24</v>
      </c>
      <c r="B19" s="8">
        <f t="shared" si="9"/>
        <v>46184</v>
      </c>
      <c r="C19" s="9" t="str" cm="1">
        <f t="array" ref="C19">_xlfn.XLOOKUP(E19,Masterdata!$B$31:$B$44,Masterdata!$A$31:$A$44,_xlfn.SWITCH(WEEKDAY($D19, 2), 1, "mandag", 2, "tirsdag", 3, "onsdag", 4, "torsdag", 5, "fredag", 6, "lørdag", 7, "søndag"),0)</f>
        <v>torsdag</v>
      </c>
      <c r="D19" s="29">
        <f t="shared" si="0"/>
        <v>5</v>
      </c>
      <c r="E19" s="70">
        <f t="shared" si="3"/>
        <v>46184</v>
      </c>
      <c r="F19" s="10" t="s">
        <v>23</v>
      </c>
      <c r="G19" s="12">
        <f>IF(OR(AND(F19="N",NOT(OR(C19="mandag",C19="tirsdag",C19="onsdag",C19="torsdag",C19="fredag"))),F19="F"),0,
        IF(OR(
            AND(Masterdata!$B$4&lt;&gt;DATE(1900,1,0), Masterdata!$B$4&lt;$E19),
            AND(Masterdata!$B$3&lt;&gt;DATE(1900,1,0), Masterdata!$B$3&gt;$E19)
        ),
        0, $X$7/(5-H19)))</f>
        <v>0.30833333333333335</v>
      </c>
      <c r="H19" s="86">
        <f>SUMPRODUCT(COUNTIFS(Maj!$A$9:$A$39,$A19,Maj!$D$9:$D$39,"&lt;7",Maj!$F$9:$F$39,"F")+COUNTIFS($A$9:$A$38,$A19,$D$9:$D$38,"&lt;7",$F$9:$F$38,"F")+COUNTIFS(Juli!$A$9:$A$39,$A19,Juli!$D$9:$D$39,"&lt;7",Juli!$F$9:$F$39,"F"))</f>
        <v>0</v>
      </c>
      <c r="I19" s="11">
        <v>0</v>
      </c>
      <c r="J19" s="11">
        <v>0</v>
      </c>
      <c r="K19" s="11">
        <v>0</v>
      </c>
      <c r="L19" s="26" t="str">
        <f t="shared" si="12"/>
        <v>07:24</v>
      </c>
      <c r="M19" s="26" t="str">
        <f>IF(OR(F19="N",F19="F"),"0:00",
IF(
OR(
AND(Masterdata!$B$4&lt;&gt;DATE(1900,1,0),Masterdata!$B$4&lt;$E19),
AND(Masterdata!$B$3&lt;&gt;DATE(1900,1,0),Masterdata!$B$3&gt;$E19)
),"0:00",
IF(
$I19&gt;TIME(0,0,0),
IF(
NOT(OR($C19="mandag",$C19="tirsdag",$C19="onsdag",$C19="torsdag",$C19="fredag")),
TEXT($I19,"[tt]:mm"),
IF($I19-$G19&gt;=0,TEXT($I19-$G19,"[tt]:mm"),"-"&amp;TEXT(ABS($I19-$G19),"[tt]:mm"))
),
IF(
NOT(OR($C19="mandag",$C19="tirsdag",$C19="onsdag",$C19="torsdag",$C19="fredag")),
IF($K19-$J19&gt;=0,TEXT($K19-$J19,"[tt]:mm"),"-"&amp;TEXT(ABS($K19-$J19),"[tt]:mm")),
IF(
$K19-$J19-$G19&gt;=0,
TEXT($K19-$J19-$G19,"[tt]:mm"),
"-"&amp;TEXT(ABS($K19-$J19-$G19),"[tt]:mm")
)
)
)
))</f>
        <v>0:00</v>
      </c>
      <c r="N19" s="71" t="str">
        <f t="shared" si="4"/>
        <v>0</v>
      </c>
      <c r="O19" s="25" t="str">
        <f t="shared" si="5"/>
        <v>0:</v>
      </c>
      <c r="P19" s="52" t="str">
        <f t="shared" si="6"/>
        <v>0</v>
      </c>
      <c r="Q19" s="53">
        <f t="shared" si="10"/>
        <v>0</v>
      </c>
      <c r="R19" s="30">
        <f t="shared" si="11"/>
        <v>0</v>
      </c>
      <c r="S19" s="98"/>
      <c r="T19" s="98"/>
      <c r="U19" s="29"/>
      <c r="V19" s="29"/>
      <c r="W19" s="70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</row>
    <row r="20" spans="1:45" x14ac:dyDescent="0.3">
      <c r="A20" s="7">
        <f t="shared" si="2"/>
        <v>24</v>
      </c>
      <c r="B20" s="8">
        <f t="shared" si="9"/>
        <v>46185</v>
      </c>
      <c r="C20" s="9" t="str" cm="1">
        <f t="array" ref="C20">_xlfn.XLOOKUP(E20,Masterdata!$B$31:$B$44,Masterdata!$A$31:$A$44,_xlfn.SWITCH(WEEKDAY($D20, 2), 1, "mandag", 2, "tirsdag", 3, "onsdag", 4, "torsdag", 5, "fredag", 6, "lørdag", 7, "søndag"),0)</f>
        <v>fredag</v>
      </c>
      <c r="D20" s="29">
        <f t="shared" si="0"/>
        <v>6</v>
      </c>
      <c r="E20" s="70">
        <f t="shared" si="3"/>
        <v>46185</v>
      </c>
      <c r="F20" s="10" t="s">
        <v>23</v>
      </c>
      <c r="G20" s="12">
        <f>IF(OR(AND(F20="N",NOT(OR(C20="mandag",C20="tirsdag",C20="onsdag",C20="torsdag",C20="fredag"))),F20="F"),0,
        IF(OR(
            AND(Masterdata!$B$4&lt;&gt;DATE(1900,1,0), Masterdata!$B$4&lt;$E20),
            AND(Masterdata!$B$3&lt;&gt;DATE(1900,1,0), Masterdata!$B$3&gt;$E20)
        ),
        0, $X$7/(5-H20)))</f>
        <v>0.30833333333333335</v>
      </c>
      <c r="H20" s="86">
        <f>SUMPRODUCT(COUNTIFS(Maj!$A$9:$A$39,$A20,Maj!$D$9:$D$39,"&lt;7",Maj!$F$9:$F$39,"F")+COUNTIFS($A$9:$A$38,$A20,$D$9:$D$38,"&lt;7",$F$9:$F$38,"F")+COUNTIFS(Juli!$A$9:$A$39,$A20,Juli!$D$9:$D$39,"&lt;7",Juli!$F$9:$F$39,"F"))</f>
        <v>0</v>
      </c>
      <c r="I20" s="11">
        <v>0</v>
      </c>
      <c r="J20" s="11">
        <v>0</v>
      </c>
      <c r="K20" s="11">
        <v>0</v>
      </c>
      <c r="L20" s="26" t="str">
        <f t="shared" si="12"/>
        <v>07:24</v>
      </c>
      <c r="M20" s="26" t="str">
        <f>IF(OR(F20="N",F20="F"),"0:00",
IF(
OR(
AND(Masterdata!$B$4&lt;&gt;DATE(1900,1,0),Masterdata!$B$4&lt;$E20),
AND(Masterdata!$B$3&lt;&gt;DATE(1900,1,0),Masterdata!$B$3&gt;$E20)
),"0:00",
IF(
$I20&gt;TIME(0,0,0),
IF(
NOT(OR($C20="mandag",$C20="tirsdag",$C20="onsdag",$C20="torsdag",$C20="fredag")),
TEXT($I20,"[tt]:mm"),
IF($I20-$G20&gt;=0,TEXT($I20-$G20,"[tt]:mm"),"-"&amp;TEXT(ABS($I20-$G20),"[tt]:mm"))
),
IF(
NOT(OR($C20="mandag",$C20="tirsdag",$C20="onsdag",$C20="torsdag",$C20="fredag")),
IF($K20-$J20&gt;=0,TEXT($K20-$J20,"[tt]:mm"),"-"&amp;TEXT(ABS($K20-$J20),"[tt]:mm")),
IF(
$K20-$J20-$G20&gt;=0,
TEXT($K20-$J20-$G20,"[tt]:mm"),
"-"&amp;TEXT(ABS($K20-$J20-$G20),"[tt]:mm")
)
)
)
))</f>
        <v>0:00</v>
      </c>
      <c r="N20" s="71" t="str">
        <f t="shared" si="4"/>
        <v>0</v>
      </c>
      <c r="O20" s="25" t="str">
        <f t="shared" si="5"/>
        <v>0:</v>
      </c>
      <c r="P20" s="52" t="str">
        <f t="shared" si="6"/>
        <v>0</v>
      </c>
      <c r="Q20" s="53">
        <f t="shared" si="10"/>
        <v>0</v>
      </c>
      <c r="R20" s="30">
        <f t="shared" si="11"/>
        <v>0</v>
      </c>
      <c r="S20" s="98"/>
      <c r="T20" s="98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</row>
    <row r="21" spans="1:45" x14ac:dyDescent="0.3">
      <c r="A21" s="7">
        <f t="shared" si="2"/>
        <v>24</v>
      </c>
      <c r="B21" s="8">
        <f t="shared" si="9"/>
        <v>46186</v>
      </c>
      <c r="C21" s="9" t="str" cm="1">
        <f t="array" ref="C21">_xlfn.XLOOKUP(E21,Masterdata!$B$31:$B$44,Masterdata!$A$31:$A$44,_xlfn.SWITCH(WEEKDAY($D21, 2), 1, "mandag", 2, "tirsdag", 3, "onsdag", 4, "torsdag", 5, "fredag", 6, "lørdag", 7, "søndag"),0)</f>
        <v>lørdag</v>
      </c>
      <c r="D21" s="29">
        <f t="shared" si="0"/>
        <v>7</v>
      </c>
      <c r="E21" s="70">
        <f t="shared" si="3"/>
        <v>46186</v>
      </c>
      <c r="F21" s="10" t="s">
        <v>23</v>
      </c>
      <c r="G21" s="12">
        <f>IF(OR(AND(F21="N",NOT(OR(C21="mandag",C21="tirsdag",C21="onsdag",C21="torsdag",C21="fredag"))),F21="F"),0,
        IF(OR(
            AND(Masterdata!$B$4&lt;&gt;DATE(1900,1,0), Masterdata!$B$4&lt;$E21),
            AND(Masterdata!$B$3&lt;&gt;DATE(1900,1,0), Masterdata!$B$3&gt;$E21)
        ),
        0, $X$7/(5-H21)))</f>
        <v>0</v>
      </c>
      <c r="H21" s="86">
        <f>SUMPRODUCT(COUNTIFS(Maj!$A$9:$A$39,$A21,Maj!$D$9:$D$39,"&lt;7",Maj!$F$9:$F$39,"F")+COUNTIFS($A$9:$A$38,$A21,$D$9:$D$38,"&lt;7",$F$9:$F$38,"F")+COUNTIFS(Juli!$A$9:$A$39,$A21,Juli!$D$9:$D$39,"&lt;7",Juli!$F$9:$F$39,"F"))</f>
        <v>0</v>
      </c>
      <c r="I21" s="11">
        <v>0</v>
      </c>
      <c r="J21" s="11">
        <v>0</v>
      </c>
      <c r="K21" s="11">
        <v>0</v>
      </c>
      <c r="L21" s="26" t="str">
        <f t="shared" si="12"/>
        <v>00:00</v>
      </c>
      <c r="M21" s="26" t="str">
        <f>IF(OR(F21="N",F21="F"),"0:00",
IF(
OR(
AND(Masterdata!$B$4&lt;&gt;DATE(1900,1,0),Masterdata!$B$4&lt;$E21),
AND(Masterdata!$B$3&lt;&gt;DATE(1900,1,0),Masterdata!$B$3&gt;$E21)
),"0:00",
IF(
$I21&gt;TIME(0,0,0),
IF(
NOT(OR($C21="mandag",$C21="tirsdag",$C21="onsdag",$C21="torsdag",$C21="fredag")),
TEXT($I21,"[tt]:mm"),
IF($I21-$G21&gt;=0,TEXT($I21-$G21,"[tt]:mm"),"-"&amp;TEXT(ABS($I21-$G21),"[tt]:mm"))
),
IF(
NOT(OR($C21="mandag",$C21="tirsdag",$C21="onsdag",$C21="torsdag",$C21="fredag")),
IF($K21-$J21&gt;=0,TEXT($K21-$J21,"[tt]:mm"),"-"&amp;TEXT(ABS($K21-$J21),"[tt]:mm")),
IF(
$K21-$J21-$G21&gt;=0,
TEXT($K21-$J21-$G21,"[tt]:mm"),
"-"&amp;TEXT(ABS($K21-$J21-$G21),"[tt]:mm")
)
)
)
))</f>
        <v>0:00</v>
      </c>
      <c r="N21" s="71" t="str">
        <f>LEFT(M21,1)</f>
        <v>0</v>
      </c>
      <c r="O21" s="25" t="str">
        <f t="shared" si="5"/>
        <v>0:</v>
      </c>
      <c r="P21" s="52" t="str">
        <f t="shared" si="6"/>
        <v>0</v>
      </c>
      <c r="Q21" s="53">
        <f t="shared" si="10"/>
        <v>0</v>
      </c>
      <c r="R21" s="30">
        <f>IF(N21="-",O21-Q21,O21+Q21)</f>
        <v>0</v>
      </c>
      <c r="S21" s="98"/>
      <c r="T21" s="98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</row>
    <row r="22" spans="1:45" x14ac:dyDescent="0.3">
      <c r="A22" s="7">
        <f t="shared" si="2"/>
        <v>24</v>
      </c>
      <c r="B22" s="8">
        <f t="shared" si="9"/>
        <v>46187</v>
      </c>
      <c r="C22" s="9" t="str" cm="1">
        <f t="array" ref="C22">_xlfn.XLOOKUP(E22,Masterdata!$B$31:$B$44,Masterdata!$A$31:$A$44,_xlfn.SWITCH(WEEKDAY($D22, 2), 1, "mandag", 2, "tirsdag", 3, "onsdag", 4, "torsdag", 5, "fredag", 6, "lørdag", 7, "søndag"),0)</f>
        <v>søndag</v>
      </c>
      <c r="D22" s="29">
        <f t="shared" si="0"/>
        <v>8</v>
      </c>
      <c r="E22" s="70">
        <f t="shared" si="3"/>
        <v>46187</v>
      </c>
      <c r="F22" s="10" t="s">
        <v>23</v>
      </c>
      <c r="G22" s="12">
        <f>IF(OR(AND(F22="N",NOT(OR(C22="mandag",C22="tirsdag",C22="onsdag",C22="torsdag",C22="fredag"))),F22="F"),0,
        IF(OR(
            AND(Masterdata!$B$4&lt;&gt;DATE(1900,1,0), Masterdata!$B$4&lt;$E22),
            AND(Masterdata!$B$3&lt;&gt;DATE(1900,1,0), Masterdata!$B$3&gt;$E22)
        ),
        0, $X$7/(5-H22)))</f>
        <v>0</v>
      </c>
      <c r="H22" s="86">
        <f>SUMPRODUCT(COUNTIFS(Maj!$A$9:$A$39,$A22,Maj!$D$9:$D$39,"&lt;7",Maj!$F$9:$F$39,"F")+COUNTIFS($A$9:$A$38,$A22,$D$9:$D$38,"&lt;7",$F$9:$F$38,"F")+COUNTIFS(Juli!$A$9:$A$39,$A22,Juli!$D$9:$D$39,"&lt;7",Juli!$F$9:$F$39,"F"))</f>
        <v>0</v>
      </c>
      <c r="I22" s="11">
        <v>0</v>
      </c>
      <c r="J22" s="11">
        <v>0</v>
      </c>
      <c r="K22" s="11">
        <v>0</v>
      </c>
      <c r="L22" s="26" t="str">
        <f t="shared" si="12"/>
        <v>00:00</v>
      </c>
      <c r="M22" s="26" t="str">
        <f>IF(OR(F22="N",F22="F"),"0:00",
IF(
OR(
AND(Masterdata!$B$4&lt;&gt;DATE(1900,1,0),Masterdata!$B$4&lt;$E22),
AND(Masterdata!$B$3&lt;&gt;DATE(1900,1,0),Masterdata!$B$3&gt;$E22)
),"0:00",
IF(
$I22&gt;TIME(0,0,0),
IF(
NOT(OR($C22="mandag",$C22="tirsdag",$C22="onsdag",$C22="torsdag",$C22="fredag")),
TEXT($I22,"[tt]:mm"),
IF($I22-$G22&gt;=0,TEXT($I22-$G22,"[tt]:mm"),"-"&amp;TEXT(ABS($I22-$G22),"[tt]:mm"))
),
IF(
NOT(OR($C22="mandag",$C22="tirsdag",$C22="onsdag",$C22="torsdag",$C22="fredag")),
IF($K22-$J22&gt;=0,TEXT($K22-$J22,"[tt]:mm"),"-"&amp;TEXT(ABS($K22-$J22),"[tt]:mm")),
IF(
$K22-$J22-$G22&gt;=0,
TEXT($K22-$J22-$G22,"[tt]:mm"),
"-"&amp;TEXT(ABS($K22-$J22-$G22),"[tt]:mm")
)
)
)
))</f>
        <v>0:00</v>
      </c>
      <c r="N22" s="71" t="str">
        <f t="shared" ref="N22:N38" si="13">LEFT(M22,1)</f>
        <v>0</v>
      </c>
      <c r="O22" s="25" t="str">
        <f t="shared" si="5"/>
        <v>0:</v>
      </c>
      <c r="P22" s="52" t="str">
        <f t="shared" si="6"/>
        <v>0</v>
      </c>
      <c r="Q22" s="53">
        <f t="shared" si="10"/>
        <v>0</v>
      </c>
      <c r="R22" s="30">
        <f t="shared" ref="R22:R38" si="14">IF(N22="-",O22-Q22,O22+Q22)</f>
        <v>0</v>
      </c>
      <c r="S22" s="98"/>
      <c r="T22" s="98"/>
      <c r="U22" s="29"/>
      <c r="V22" s="29"/>
      <c r="W22" s="29" t="s">
        <v>124</v>
      </c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</row>
    <row r="23" spans="1:45" x14ac:dyDescent="0.3">
      <c r="A23" s="7">
        <f t="shared" si="2"/>
        <v>25</v>
      </c>
      <c r="B23" s="8">
        <f t="shared" si="9"/>
        <v>46188</v>
      </c>
      <c r="C23" s="9" t="str" cm="1">
        <f t="array" ref="C23">_xlfn.XLOOKUP(E23,Masterdata!$B$31:$B$44,Masterdata!$A$31:$A$44,_xlfn.SWITCH(WEEKDAY($D23, 2), 1, "mandag", 2, "tirsdag", 3, "onsdag", 4, "torsdag", 5, "fredag", 6, "lørdag", 7, "søndag"),0)</f>
        <v>mandag</v>
      </c>
      <c r="D23" s="29">
        <f t="shared" si="0"/>
        <v>2</v>
      </c>
      <c r="E23" s="70">
        <f t="shared" si="3"/>
        <v>46188</v>
      </c>
      <c r="F23" s="10" t="s">
        <v>23</v>
      </c>
      <c r="G23" s="12">
        <f>IF(OR(AND(F23="N",NOT(OR(C23="mandag",C23="tirsdag",C23="onsdag",C23="torsdag",C23="fredag"))),F23="F"),0,
        IF(OR(
            AND(Masterdata!$B$4&lt;&gt;DATE(1900,1,0), Masterdata!$B$4&lt;$E23),
            AND(Masterdata!$B$3&lt;&gt;DATE(1900,1,0), Masterdata!$B$3&gt;$E23)
        ),
        0, $X$7/(5-H23)))</f>
        <v>0.30833333333333335</v>
      </c>
      <c r="H23" s="86">
        <f>SUMPRODUCT(COUNTIFS(Maj!$A$9:$A$39,$A23,Maj!$D$9:$D$39,"&lt;7",Maj!$F$9:$F$39,"F")+COUNTIFS($A$9:$A$38,$A23,$D$9:$D$38,"&lt;7",$F$9:$F$38,"F")+COUNTIFS(Juli!$A$9:$A$39,$A23,Juli!$D$9:$D$39,"&lt;7",Juli!$F$9:$F$39,"F"))</f>
        <v>0</v>
      </c>
      <c r="I23" s="11">
        <v>0</v>
      </c>
      <c r="J23" s="11">
        <v>0</v>
      </c>
      <c r="K23" s="11">
        <v>0</v>
      </c>
      <c r="L23" s="26" t="str">
        <f t="shared" si="12"/>
        <v>07:24</v>
      </c>
      <c r="M23" s="26" t="str">
        <f>IF(OR(F23="N",F23="F"),"0:00",
IF(
OR(
AND(Masterdata!$B$4&lt;&gt;DATE(1900,1,0),Masterdata!$B$4&lt;$E23),
AND(Masterdata!$B$3&lt;&gt;DATE(1900,1,0),Masterdata!$B$3&gt;$E23)
),"0:00",
IF(
$I23&gt;TIME(0,0,0),
IF(
NOT(OR($C23="mandag",$C23="tirsdag",$C23="onsdag",$C23="torsdag",$C23="fredag")),
TEXT($I23,"[tt]:mm"),
IF($I23-$G23&gt;=0,TEXT($I23-$G23,"[tt]:mm"),"-"&amp;TEXT(ABS($I23-$G23),"[tt]:mm"))
),
IF(
NOT(OR($C23="mandag",$C23="tirsdag",$C23="onsdag",$C23="torsdag",$C23="fredag")),
IF($K23-$J23&gt;=0,TEXT($K23-$J23,"[tt]:mm"),"-"&amp;TEXT(ABS($K23-$J23),"[tt]:mm")),
IF(
$K23-$J23-$G23&gt;=0,
TEXT($K23-$J23-$G23,"[tt]:mm"),
"-"&amp;TEXT(ABS($K23-$J23-$G23),"[tt]:mm")
)
)
)
))</f>
        <v>0:00</v>
      </c>
      <c r="N23" s="71" t="str">
        <f t="shared" si="13"/>
        <v>0</v>
      </c>
      <c r="O23" s="25" t="str">
        <f t="shared" si="5"/>
        <v>0:</v>
      </c>
      <c r="P23" s="52" t="str">
        <f t="shared" si="6"/>
        <v>0</v>
      </c>
      <c r="Q23" s="53">
        <f t="shared" si="10"/>
        <v>0</v>
      </c>
      <c r="R23" s="30">
        <f t="shared" si="14"/>
        <v>0</v>
      </c>
      <c r="S23" s="98"/>
      <c r="T23" s="98"/>
      <c r="U23" s="29"/>
      <c r="V23" s="29"/>
      <c r="W23" s="29" t="s">
        <v>125</v>
      </c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</row>
    <row r="24" spans="1:45" x14ac:dyDescent="0.3">
      <c r="A24" s="7">
        <f t="shared" si="2"/>
        <v>25</v>
      </c>
      <c r="B24" s="8">
        <f t="shared" si="9"/>
        <v>46189</v>
      </c>
      <c r="C24" s="9" t="str" cm="1">
        <f t="array" ref="C24">_xlfn.XLOOKUP(E24,Masterdata!$B$31:$B$44,Masterdata!$A$31:$A$44,_xlfn.SWITCH(WEEKDAY($D24, 2), 1, "mandag", 2, "tirsdag", 3, "onsdag", 4, "torsdag", 5, "fredag", 6, "lørdag", 7, "søndag"),0)</f>
        <v>tirsdag</v>
      </c>
      <c r="D24" s="29">
        <f t="shared" si="0"/>
        <v>3</v>
      </c>
      <c r="E24" s="70">
        <f t="shared" si="3"/>
        <v>46189</v>
      </c>
      <c r="F24" s="10" t="s">
        <v>23</v>
      </c>
      <c r="G24" s="12">
        <f>IF(OR(AND(F24="N",NOT(OR(C24="mandag",C24="tirsdag",C24="onsdag",C24="torsdag",C24="fredag"))),F24="F"),0,
        IF(OR(
            AND(Masterdata!$B$4&lt;&gt;DATE(1900,1,0), Masterdata!$B$4&lt;$E24),
            AND(Masterdata!$B$3&lt;&gt;DATE(1900,1,0), Masterdata!$B$3&gt;$E24)
        ),
        0, $X$7/(5-H24)))</f>
        <v>0.30833333333333335</v>
      </c>
      <c r="H24" s="86">
        <f>SUMPRODUCT(COUNTIFS(Maj!$A$9:$A$39,$A24,Maj!$D$9:$D$39,"&lt;7",Maj!$F$9:$F$39,"F")+COUNTIFS($A$9:$A$38,$A24,$D$9:$D$38,"&lt;7",$F$9:$F$38,"F")+COUNTIFS(Juli!$A$9:$A$39,$A24,Juli!$D$9:$D$39,"&lt;7",Juli!$F$9:$F$39,"F"))</f>
        <v>0</v>
      </c>
      <c r="I24" s="11">
        <v>0</v>
      </c>
      <c r="J24" s="11">
        <v>0</v>
      </c>
      <c r="K24" s="11">
        <v>0</v>
      </c>
      <c r="L24" s="26" t="str">
        <f t="shared" si="12"/>
        <v>07:24</v>
      </c>
      <c r="M24" s="26" t="str">
        <f>IF(OR(F24="N",F24="F"),"0:00",
IF(
OR(
AND(Masterdata!$B$4&lt;&gt;DATE(1900,1,0),Masterdata!$B$4&lt;$E24),
AND(Masterdata!$B$3&lt;&gt;DATE(1900,1,0),Masterdata!$B$3&gt;$E24)
),"0:00",
IF(
$I24&gt;TIME(0,0,0),
IF(
NOT(OR($C24="mandag",$C24="tirsdag",$C24="onsdag",$C24="torsdag",$C24="fredag")),
TEXT($I24,"[tt]:mm"),
IF($I24-$G24&gt;=0,TEXT($I24-$G24,"[tt]:mm"),"-"&amp;TEXT(ABS($I24-$G24),"[tt]:mm"))
),
IF(
NOT(OR($C24="mandag",$C24="tirsdag",$C24="onsdag",$C24="torsdag",$C24="fredag")),
IF($K24-$J24&gt;=0,TEXT($K24-$J24,"[tt]:mm"),"-"&amp;TEXT(ABS($K24-$J24),"[tt]:mm")),
IF(
$K24-$J24-$G24&gt;=0,
TEXT($K24-$J24-$G24,"[tt]:mm"),
"-"&amp;TEXT(ABS($K24-$J24-$G24),"[tt]:mm")
)
)
)
))</f>
        <v>0:00</v>
      </c>
      <c r="N24" s="71" t="str">
        <f t="shared" si="13"/>
        <v>0</v>
      </c>
      <c r="O24" s="25" t="str">
        <f t="shared" si="5"/>
        <v>0:</v>
      </c>
      <c r="P24" s="52" t="str">
        <f t="shared" si="6"/>
        <v>0</v>
      </c>
      <c r="Q24" s="53">
        <f t="shared" si="10"/>
        <v>0</v>
      </c>
      <c r="R24" s="30">
        <f t="shared" si="14"/>
        <v>0</v>
      </c>
      <c r="S24" s="98"/>
      <c r="T24" s="98"/>
      <c r="U24" s="29"/>
      <c r="V24" s="29"/>
      <c r="W24" s="29" t="s">
        <v>126</v>
      </c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</row>
    <row r="25" spans="1:45" x14ac:dyDescent="0.3">
      <c r="A25" s="7">
        <f t="shared" si="2"/>
        <v>25</v>
      </c>
      <c r="B25" s="8">
        <f t="shared" si="9"/>
        <v>46190</v>
      </c>
      <c r="C25" s="9" t="str" cm="1">
        <f t="array" ref="C25">_xlfn.XLOOKUP(E25,Masterdata!$B$31:$B$44,Masterdata!$A$31:$A$44,_xlfn.SWITCH(WEEKDAY($D25, 2), 1, "mandag", 2, "tirsdag", 3, "onsdag", 4, "torsdag", 5, "fredag", 6, "lørdag", 7, "søndag"),0)</f>
        <v>onsdag</v>
      </c>
      <c r="D25" s="29">
        <f t="shared" si="0"/>
        <v>4</v>
      </c>
      <c r="E25" s="70">
        <f t="shared" si="3"/>
        <v>46190</v>
      </c>
      <c r="F25" s="10" t="s">
        <v>23</v>
      </c>
      <c r="G25" s="12">
        <f>IF(OR(AND(F25="N",NOT(OR(C25="mandag",C25="tirsdag",C25="onsdag",C25="torsdag",C25="fredag"))),F25="F"),0,
        IF(OR(
            AND(Masterdata!$B$4&lt;&gt;DATE(1900,1,0), Masterdata!$B$4&lt;$E25),
            AND(Masterdata!$B$3&lt;&gt;DATE(1900,1,0), Masterdata!$B$3&gt;$E25)
        ),
        0, $X$7/(5-H25)))</f>
        <v>0.30833333333333335</v>
      </c>
      <c r="H25" s="86">
        <f>SUMPRODUCT(COUNTIFS(Maj!$A$9:$A$39,$A25,Maj!$D$9:$D$39,"&lt;7",Maj!$F$9:$F$39,"F")+COUNTIFS($A$9:$A$38,$A25,$D$9:$D$38,"&lt;7",$F$9:$F$38,"F")+COUNTIFS(Juli!$A$9:$A$39,$A25,Juli!$D$9:$D$39,"&lt;7",Juli!$F$9:$F$39,"F"))</f>
        <v>0</v>
      </c>
      <c r="I25" s="11">
        <v>0</v>
      </c>
      <c r="J25" s="11">
        <v>0</v>
      </c>
      <c r="K25" s="11">
        <v>0</v>
      </c>
      <c r="L25" s="26" t="str">
        <f t="shared" si="12"/>
        <v>07:24</v>
      </c>
      <c r="M25" s="26" t="str">
        <f>IF(OR(F25="N",F25="F"),"0:00",
IF(
OR(
AND(Masterdata!$B$4&lt;&gt;DATE(1900,1,0),Masterdata!$B$4&lt;$E25),
AND(Masterdata!$B$3&lt;&gt;DATE(1900,1,0),Masterdata!$B$3&gt;$E25)
),"0:00",
IF(
$I25&gt;TIME(0,0,0),
IF(
NOT(OR($C25="mandag",$C25="tirsdag",$C25="onsdag",$C25="torsdag",$C25="fredag")),
TEXT($I25,"[tt]:mm"),
IF($I25-$G25&gt;=0,TEXT($I25-$G25,"[tt]:mm"),"-"&amp;TEXT(ABS($I25-$G25),"[tt]:mm"))
),
IF(
NOT(OR($C25="mandag",$C25="tirsdag",$C25="onsdag",$C25="torsdag",$C25="fredag")),
IF($K25-$J25&gt;=0,TEXT($K25-$J25,"[tt]:mm"),"-"&amp;TEXT(ABS($K25-$J25),"[tt]:mm")),
IF(
$K25-$J25-$G25&gt;=0,
TEXT($K25-$J25-$G25,"[tt]:mm"),
"-"&amp;TEXT(ABS($K25-$J25-$G25),"[tt]:mm")
)
)
)
))</f>
        <v>0:00</v>
      </c>
      <c r="N25" s="71" t="str">
        <f t="shared" si="13"/>
        <v>0</v>
      </c>
      <c r="O25" s="25" t="str">
        <f t="shared" si="5"/>
        <v>0:</v>
      </c>
      <c r="P25" s="52" t="str">
        <f t="shared" si="6"/>
        <v>0</v>
      </c>
      <c r="Q25" s="53">
        <f t="shared" si="10"/>
        <v>0</v>
      </c>
      <c r="R25" s="30">
        <f t="shared" si="14"/>
        <v>0</v>
      </c>
      <c r="S25" s="98"/>
      <c r="T25" s="98"/>
      <c r="U25" s="29"/>
      <c r="V25" s="29"/>
      <c r="W25" s="29" t="s">
        <v>127</v>
      </c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</row>
    <row r="26" spans="1:45" x14ac:dyDescent="0.3">
      <c r="A26" s="7">
        <f t="shared" si="2"/>
        <v>25</v>
      </c>
      <c r="B26" s="8">
        <f t="shared" si="9"/>
        <v>46191</v>
      </c>
      <c r="C26" s="9" t="str" cm="1">
        <f t="array" ref="C26">_xlfn.XLOOKUP(E26,Masterdata!$B$31:$B$44,Masterdata!$A$31:$A$44,_xlfn.SWITCH(WEEKDAY($D26, 2), 1, "mandag", 2, "tirsdag", 3, "onsdag", 4, "torsdag", 5, "fredag", 6, "lørdag", 7, "søndag"),0)</f>
        <v>torsdag</v>
      </c>
      <c r="D26" s="29">
        <f t="shared" si="0"/>
        <v>5</v>
      </c>
      <c r="E26" s="70">
        <f t="shared" si="3"/>
        <v>46191</v>
      </c>
      <c r="F26" s="10" t="s">
        <v>23</v>
      </c>
      <c r="G26" s="12">
        <f>IF(OR(AND(F26="N",NOT(OR(C26="mandag",C26="tirsdag",C26="onsdag",C26="torsdag",C26="fredag"))),F26="F"),0,
        IF(OR(
            AND(Masterdata!$B$4&lt;&gt;DATE(1900,1,0), Masterdata!$B$4&lt;$E26),
            AND(Masterdata!$B$3&lt;&gt;DATE(1900,1,0), Masterdata!$B$3&gt;$E26)
        ),
        0, $X$7/(5-H26)))</f>
        <v>0.30833333333333335</v>
      </c>
      <c r="H26" s="86">
        <f>SUMPRODUCT(COUNTIFS(Maj!$A$9:$A$39,$A26,Maj!$D$9:$D$39,"&lt;7",Maj!$F$9:$F$39,"F")+COUNTIFS($A$9:$A$38,$A26,$D$9:$D$38,"&lt;7",$F$9:$F$38,"F")+COUNTIFS(Juli!$A$9:$A$39,$A26,Juli!$D$9:$D$39,"&lt;7",Juli!$F$9:$F$39,"F"))</f>
        <v>0</v>
      </c>
      <c r="I26" s="11">
        <v>0</v>
      </c>
      <c r="J26" s="11">
        <v>0</v>
      </c>
      <c r="K26" s="11">
        <v>0</v>
      </c>
      <c r="L26" s="26" t="str">
        <f t="shared" si="12"/>
        <v>07:24</v>
      </c>
      <c r="M26" s="26" t="str">
        <f>IF(OR(F26="N",F26="F"),"0:00",
IF(
OR(
AND(Masterdata!$B$4&lt;&gt;DATE(1900,1,0),Masterdata!$B$4&lt;$E26),
AND(Masterdata!$B$3&lt;&gt;DATE(1900,1,0),Masterdata!$B$3&gt;$E26)
),"0:00",
IF(
$I26&gt;TIME(0,0,0),
IF(
NOT(OR($C26="mandag",$C26="tirsdag",$C26="onsdag",$C26="torsdag",$C26="fredag")),
TEXT($I26,"[tt]:mm"),
IF($I26-$G26&gt;=0,TEXT($I26-$G26,"[tt]:mm"),"-"&amp;TEXT(ABS($I26-$G26),"[tt]:mm"))
),
IF(
NOT(OR($C26="mandag",$C26="tirsdag",$C26="onsdag",$C26="torsdag",$C26="fredag")),
IF($K26-$J26&gt;=0,TEXT($K26-$J26,"[tt]:mm"),"-"&amp;TEXT(ABS($K26-$J26),"[tt]:mm")),
IF(
$K26-$J26-$G26&gt;=0,
TEXT($K26-$J26-$G26,"[tt]:mm"),
"-"&amp;TEXT(ABS($K26-$J26-$G26),"[tt]:mm")
)
)
)
))</f>
        <v>0:00</v>
      </c>
      <c r="N26" s="71" t="str">
        <f t="shared" si="13"/>
        <v>0</v>
      </c>
      <c r="O26" s="25" t="str">
        <f t="shared" si="5"/>
        <v>0:</v>
      </c>
      <c r="P26" s="52" t="str">
        <f t="shared" si="6"/>
        <v>0</v>
      </c>
      <c r="Q26" s="53">
        <f t="shared" si="10"/>
        <v>0</v>
      </c>
      <c r="R26" s="30">
        <f t="shared" si="14"/>
        <v>0</v>
      </c>
      <c r="S26" s="98"/>
      <c r="T26" s="98"/>
      <c r="U26" s="29"/>
      <c r="V26" s="29"/>
      <c r="W26" s="29" t="s">
        <v>128</v>
      </c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</row>
    <row r="27" spans="1:45" x14ac:dyDescent="0.3">
      <c r="A27" s="7">
        <f t="shared" si="2"/>
        <v>25</v>
      </c>
      <c r="B27" s="8">
        <f t="shared" si="9"/>
        <v>46192</v>
      </c>
      <c r="C27" s="9" t="str" cm="1">
        <f t="array" ref="C27">_xlfn.XLOOKUP(E27,Masterdata!$B$31:$B$44,Masterdata!$A$31:$A$44,_xlfn.SWITCH(WEEKDAY($D27, 2), 1, "mandag", 2, "tirsdag", 3, "onsdag", 4, "torsdag", 5, "fredag", 6, "lørdag", 7, "søndag"),0)</f>
        <v>fredag</v>
      </c>
      <c r="D27" s="29">
        <f t="shared" si="0"/>
        <v>6</v>
      </c>
      <c r="E27" s="70">
        <f t="shared" si="3"/>
        <v>46192</v>
      </c>
      <c r="F27" s="10" t="s">
        <v>23</v>
      </c>
      <c r="G27" s="12">
        <f>IF(OR(AND(F27="N",NOT(OR(C27="mandag",C27="tirsdag",C27="onsdag",C27="torsdag",C27="fredag"))),F27="F"),0,
        IF(OR(
            AND(Masterdata!$B$4&lt;&gt;DATE(1900,1,0), Masterdata!$B$4&lt;$E27),
            AND(Masterdata!$B$3&lt;&gt;DATE(1900,1,0), Masterdata!$B$3&gt;$E27)
        ),
        0, $X$7/(5-H27)))</f>
        <v>0.30833333333333335</v>
      </c>
      <c r="H27" s="86">
        <f>SUMPRODUCT(COUNTIFS(Maj!$A$9:$A$39,$A27,Maj!$D$9:$D$39,"&lt;7",Maj!$F$9:$F$39,"F")+COUNTIFS($A$9:$A$38,$A27,$D$9:$D$38,"&lt;7",$F$9:$F$38,"F")+COUNTIFS(Juli!$A$9:$A$39,$A27,Juli!$D$9:$D$39,"&lt;7",Juli!$F$9:$F$39,"F"))</f>
        <v>0</v>
      </c>
      <c r="I27" s="11">
        <v>0</v>
      </c>
      <c r="J27" s="11">
        <v>0</v>
      </c>
      <c r="K27" s="11">
        <v>0</v>
      </c>
      <c r="L27" s="26" t="str">
        <f t="shared" si="12"/>
        <v>07:24</v>
      </c>
      <c r="M27" s="26" t="str">
        <f>IF(OR(F27="N",F27="F"),"0:00",
IF(
OR(
AND(Masterdata!$B$4&lt;&gt;DATE(1900,1,0),Masterdata!$B$4&lt;$E27),
AND(Masterdata!$B$3&lt;&gt;DATE(1900,1,0),Masterdata!$B$3&gt;$E27)
),"0:00",
IF(
$I27&gt;TIME(0,0,0),
IF(
NOT(OR($C27="mandag",$C27="tirsdag",$C27="onsdag",$C27="torsdag",$C27="fredag")),
TEXT($I27,"[tt]:mm"),
IF($I27-$G27&gt;=0,TEXT($I27-$G27,"[tt]:mm"),"-"&amp;TEXT(ABS($I27-$G27),"[tt]:mm"))
),
IF(
NOT(OR($C27="mandag",$C27="tirsdag",$C27="onsdag",$C27="torsdag",$C27="fredag")),
IF($K27-$J27&gt;=0,TEXT($K27-$J27,"[tt]:mm"),"-"&amp;TEXT(ABS($K27-$J27),"[tt]:mm")),
IF(
$K27-$J27-$G27&gt;=0,
TEXT($K27-$J27-$G27,"[tt]:mm"),
"-"&amp;TEXT(ABS($K27-$J27-$G27),"[tt]:mm")
)
)
)
))</f>
        <v>0:00</v>
      </c>
      <c r="N27" s="71" t="str">
        <f t="shared" si="13"/>
        <v>0</v>
      </c>
      <c r="O27" s="25" t="str">
        <f t="shared" si="5"/>
        <v>0:</v>
      </c>
      <c r="P27" s="52" t="str">
        <f t="shared" si="6"/>
        <v>0</v>
      </c>
      <c r="Q27" s="53">
        <f t="shared" si="10"/>
        <v>0</v>
      </c>
      <c r="R27" s="30">
        <f t="shared" si="14"/>
        <v>0</v>
      </c>
      <c r="S27" s="98"/>
      <c r="T27" s="98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</row>
    <row r="28" spans="1:45" x14ac:dyDescent="0.3">
      <c r="A28" s="7">
        <f t="shared" si="2"/>
        <v>25</v>
      </c>
      <c r="B28" s="8">
        <f t="shared" si="9"/>
        <v>46193</v>
      </c>
      <c r="C28" s="9" t="str" cm="1">
        <f t="array" ref="C28">_xlfn.XLOOKUP(E28,Masterdata!$B$31:$B$44,Masterdata!$A$31:$A$44,_xlfn.SWITCH(WEEKDAY($D28, 2), 1, "mandag", 2, "tirsdag", 3, "onsdag", 4, "torsdag", 5, "fredag", 6, "lørdag", 7, "søndag"),0)</f>
        <v>lørdag</v>
      </c>
      <c r="D28" s="29">
        <f t="shared" si="0"/>
        <v>7</v>
      </c>
      <c r="E28" s="70">
        <f t="shared" si="3"/>
        <v>46193</v>
      </c>
      <c r="F28" s="10" t="s">
        <v>23</v>
      </c>
      <c r="G28" s="12">
        <f>IF(OR(AND(F28="N",NOT(OR(C28="mandag",C28="tirsdag",C28="onsdag",C28="torsdag",C28="fredag"))),F28="F"),0,
        IF(OR(
            AND(Masterdata!$B$4&lt;&gt;DATE(1900,1,0), Masterdata!$B$4&lt;$E28),
            AND(Masterdata!$B$3&lt;&gt;DATE(1900,1,0), Masterdata!$B$3&gt;$E28)
        ),
        0, $X$7/(5-H28)))</f>
        <v>0</v>
      </c>
      <c r="H28" s="86">
        <f>SUMPRODUCT(COUNTIFS(Maj!$A$9:$A$39,$A28,Maj!$D$9:$D$39,"&lt;7",Maj!$F$9:$F$39,"F")+COUNTIFS($A$9:$A$38,$A28,$D$9:$D$38,"&lt;7",$F$9:$F$38,"F")+COUNTIFS(Juli!$A$9:$A$39,$A28,Juli!$D$9:$D$39,"&lt;7",Juli!$F$9:$F$39,"F"))</f>
        <v>0</v>
      </c>
      <c r="I28" s="11">
        <v>0</v>
      </c>
      <c r="J28" s="11">
        <v>0</v>
      </c>
      <c r="K28" s="11">
        <v>0</v>
      </c>
      <c r="L28" s="26" t="str">
        <f t="shared" si="12"/>
        <v>00:00</v>
      </c>
      <c r="M28" s="26" t="str">
        <f>IF(OR(F28="N",F28="F"),"0:00",
IF(
OR(
AND(Masterdata!$B$4&lt;&gt;DATE(1900,1,0),Masterdata!$B$4&lt;$E28),
AND(Masterdata!$B$3&lt;&gt;DATE(1900,1,0),Masterdata!$B$3&gt;$E28)
),"0:00",
IF(
$I28&gt;TIME(0,0,0),
IF(
NOT(OR($C28="mandag",$C28="tirsdag",$C28="onsdag",$C28="torsdag",$C28="fredag")),
TEXT($I28,"[tt]:mm"),
IF($I28-$G28&gt;=0,TEXT($I28-$G28,"[tt]:mm"),"-"&amp;TEXT(ABS($I28-$G28),"[tt]:mm"))
),
IF(
NOT(OR($C28="mandag",$C28="tirsdag",$C28="onsdag",$C28="torsdag",$C28="fredag")),
IF($K28-$J28&gt;=0,TEXT($K28-$J28,"[tt]:mm"),"-"&amp;TEXT(ABS($K28-$J28),"[tt]:mm")),
IF(
$K28-$J28-$G28&gt;=0,
TEXT($K28-$J28-$G28,"[tt]:mm"),
"-"&amp;TEXT(ABS($K28-$J28-$G28),"[tt]:mm")
)
)
)
))</f>
        <v>0:00</v>
      </c>
      <c r="N28" s="71" t="str">
        <f t="shared" si="13"/>
        <v>0</v>
      </c>
      <c r="O28" s="25" t="str">
        <f t="shared" si="5"/>
        <v>0:</v>
      </c>
      <c r="P28" s="52" t="str">
        <f t="shared" si="6"/>
        <v>0</v>
      </c>
      <c r="Q28" s="53">
        <f t="shared" si="10"/>
        <v>0</v>
      </c>
      <c r="R28" s="30">
        <f t="shared" si="14"/>
        <v>0</v>
      </c>
      <c r="S28" s="98"/>
      <c r="T28" s="98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</row>
    <row r="29" spans="1:45" x14ac:dyDescent="0.3">
      <c r="A29" s="7">
        <f t="shared" si="2"/>
        <v>25</v>
      </c>
      <c r="B29" s="8">
        <f t="shared" si="9"/>
        <v>46194</v>
      </c>
      <c r="C29" s="9" t="str" cm="1">
        <f t="array" ref="C29">_xlfn.XLOOKUP(E29,Masterdata!$B$31:$B$44,Masterdata!$A$31:$A$44,_xlfn.SWITCH(WEEKDAY($D29, 2), 1, "mandag", 2, "tirsdag", 3, "onsdag", 4, "torsdag", 5, "fredag", 6, "lørdag", 7, "søndag"),0)</f>
        <v>søndag</v>
      </c>
      <c r="D29" s="29">
        <f t="shared" si="0"/>
        <v>8</v>
      </c>
      <c r="E29" s="70">
        <f t="shared" si="3"/>
        <v>46194</v>
      </c>
      <c r="F29" s="10" t="s">
        <v>23</v>
      </c>
      <c r="G29" s="12">
        <f>IF(OR(AND(F29="N",NOT(OR(C29="mandag",C29="tirsdag",C29="onsdag",C29="torsdag",C29="fredag"))),F29="F"),0,
        IF(OR(
            AND(Masterdata!$B$4&lt;&gt;DATE(1900,1,0), Masterdata!$B$4&lt;$E29),
            AND(Masterdata!$B$3&lt;&gt;DATE(1900,1,0), Masterdata!$B$3&gt;$E29)
        ),
        0, $X$7/(5-H29)))</f>
        <v>0</v>
      </c>
      <c r="H29" s="86">
        <f>SUMPRODUCT(COUNTIFS(Maj!$A$9:$A$39,$A29,Maj!$D$9:$D$39,"&lt;7",Maj!$F$9:$F$39,"F")+COUNTIFS($A$9:$A$38,$A29,$D$9:$D$38,"&lt;7",$F$9:$F$38,"F")+COUNTIFS(Juli!$A$9:$A$39,$A29,Juli!$D$9:$D$39,"&lt;7",Juli!$F$9:$F$39,"F"))</f>
        <v>0</v>
      </c>
      <c r="I29" s="11">
        <v>0</v>
      </c>
      <c r="J29" s="11">
        <v>0</v>
      </c>
      <c r="K29" s="11">
        <v>0</v>
      </c>
      <c r="L29" s="26" t="str">
        <f t="shared" si="12"/>
        <v>00:00</v>
      </c>
      <c r="M29" s="26" t="str">
        <f>IF(OR(F29="N",F29="F"),"0:00",
IF(
OR(
AND(Masterdata!$B$4&lt;&gt;DATE(1900,1,0),Masterdata!$B$4&lt;$E29),
AND(Masterdata!$B$3&lt;&gt;DATE(1900,1,0),Masterdata!$B$3&gt;$E29)
),"0:00",
IF(
$I29&gt;TIME(0,0,0),
IF(
NOT(OR($C29="mandag",$C29="tirsdag",$C29="onsdag",$C29="torsdag",$C29="fredag")),
TEXT($I29,"[tt]:mm"),
IF($I29-$G29&gt;=0,TEXT($I29-$G29,"[tt]:mm"),"-"&amp;TEXT(ABS($I29-$G29),"[tt]:mm"))
),
IF(
NOT(OR($C29="mandag",$C29="tirsdag",$C29="onsdag",$C29="torsdag",$C29="fredag")),
IF($K29-$J29&gt;=0,TEXT($K29-$J29,"[tt]:mm"),"-"&amp;TEXT(ABS($K29-$J29),"[tt]:mm")),
IF(
$K29-$J29-$G29&gt;=0,
TEXT($K29-$J29-$G29,"[tt]:mm"),
"-"&amp;TEXT(ABS($K29-$J29-$G29),"[tt]:mm")
)
)
)
))</f>
        <v>0:00</v>
      </c>
      <c r="N29" s="71" t="str">
        <f t="shared" si="13"/>
        <v>0</v>
      </c>
      <c r="O29" s="25" t="str">
        <f t="shared" si="5"/>
        <v>0:</v>
      </c>
      <c r="P29" s="52" t="str">
        <f t="shared" si="6"/>
        <v>0</v>
      </c>
      <c r="Q29" s="53">
        <f t="shared" si="10"/>
        <v>0</v>
      </c>
      <c r="R29" s="30">
        <f t="shared" si="14"/>
        <v>0</v>
      </c>
      <c r="S29" s="98"/>
      <c r="T29" s="98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</row>
    <row r="30" spans="1:45" x14ac:dyDescent="0.3">
      <c r="A30" s="7">
        <f t="shared" si="2"/>
        <v>26</v>
      </c>
      <c r="B30" s="8">
        <f t="shared" si="9"/>
        <v>46195</v>
      </c>
      <c r="C30" s="9" t="str" cm="1">
        <f t="array" ref="C30">_xlfn.XLOOKUP(E30,Masterdata!$B$31:$B$44,Masterdata!$A$31:$A$44,_xlfn.SWITCH(WEEKDAY($D30, 2), 1, "mandag", 2, "tirsdag", 3, "onsdag", 4, "torsdag", 5, "fredag", 6, "lørdag", 7, "søndag"),0)</f>
        <v>mandag</v>
      </c>
      <c r="D30" s="29">
        <f t="shared" si="0"/>
        <v>2</v>
      </c>
      <c r="E30" s="70">
        <f t="shared" si="3"/>
        <v>46195</v>
      </c>
      <c r="F30" s="10" t="s">
        <v>23</v>
      </c>
      <c r="G30" s="12">
        <f>IF(OR(AND(F30="N",NOT(OR(C30="mandag",C30="tirsdag",C30="onsdag",C30="torsdag",C30="fredag"))),F30="F"),0,
        IF(OR(
            AND(Masterdata!$B$4&lt;&gt;DATE(1900,1,0), Masterdata!$B$4&lt;$E30),
            AND(Masterdata!$B$3&lt;&gt;DATE(1900,1,0), Masterdata!$B$3&gt;$E30)
        ),
        0, $X$7/(5-H30)))</f>
        <v>0.30833333333333335</v>
      </c>
      <c r="H30" s="86">
        <f>SUMPRODUCT(COUNTIFS(Maj!$A$9:$A$39,$A30,Maj!$D$9:$D$39,"&lt;7",Maj!$F$9:$F$39,"F")+COUNTIFS($A$9:$A$38,$A30,$D$9:$D$38,"&lt;7",$F$9:$F$38,"F")+COUNTIFS(Juli!$A$9:$A$39,$A30,Juli!$D$9:$D$39,"&lt;7",Juli!$F$9:$F$39,"F"))</f>
        <v>0</v>
      </c>
      <c r="I30" s="11">
        <v>0</v>
      </c>
      <c r="J30" s="11">
        <v>0</v>
      </c>
      <c r="K30" s="11">
        <v>0</v>
      </c>
      <c r="L30" s="26" t="str">
        <f t="shared" si="12"/>
        <v>07:24</v>
      </c>
      <c r="M30" s="26" t="str">
        <f>IF(OR(F30="N",F30="F"),"0:00",
IF(
OR(
AND(Masterdata!$B$4&lt;&gt;DATE(1900,1,0),Masterdata!$B$4&lt;$E30),
AND(Masterdata!$B$3&lt;&gt;DATE(1900,1,0),Masterdata!$B$3&gt;$E30)
),"0:00",
IF(
$I30&gt;TIME(0,0,0),
IF(
NOT(OR($C30="mandag",$C30="tirsdag",$C30="onsdag",$C30="torsdag",$C30="fredag")),
TEXT($I30,"[tt]:mm"),
IF($I30-$G30&gt;=0,TEXT($I30-$G30,"[tt]:mm"),"-"&amp;TEXT(ABS($I30-$G30),"[tt]:mm"))
),
IF(
NOT(OR($C30="mandag",$C30="tirsdag",$C30="onsdag",$C30="torsdag",$C30="fredag")),
IF($K30-$J30&gt;=0,TEXT($K30-$J30,"[tt]:mm"),"-"&amp;TEXT(ABS($K30-$J30),"[tt]:mm")),
IF(
$K30-$J30-$G30&gt;=0,
TEXT($K30-$J30-$G30,"[tt]:mm"),
"-"&amp;TEXT(ABS($K30-$J30-$G30),"[tt]:mm")
)
)
)
))</f>
        <v>0:00</v>
      </c>
      <c r="N30" s="71" t="str">
        <f t="shared" si="13"/>
        <v>0</v>
      </c>
      <c r="O30" s="25" t="str">
        <f t="shared" si="5"/>
        <v>0:</v>
      </c>
      <c r="P30" s="52" t="str">
        <f t="shared" si="6"/>
        <v>0</v>
      </c>
      <c r="Q30" s="53">
        <f t="shared" si="10"/>
        <v>0</v>
      </c>
      <c r="R30" s="30">
        <f t="shared" si="14"/>
        <v>0</v>
      </c>
      <c r="S30" s="98"/>
      <c r="T30" s="98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</row>
    <row r="31" spans="1:45" x14ac:dyDescent="0.3">
      <c r="A31" s="7">
        <f t="shared" si="2"/>
        <v>26</v>
      </c>
      <c r="B31" s="8">
        <f t="shared" si="9"/>
        <v>46196</v>
      </c>
      <c r="C31" s="9" t="str" cm="1">
        <f t="array" ref="C31">_xlfn.XLOOKUP(E31,Masterdata!$B$31:$B$44,Masterdata!$A$31:$A$44,_xlfn.SWITCH(WEEKDAY($D31, 2), 1, "mandag", 2, "tirsdag", 3, "onsdag", 4, "torsdag", 5, "fredag", 6, "lørdag", 7, "søndag"),0)</f>
        <v>tirsdag</v>
      </c>
      <c r="D31" s="29">
        <f t="shared" si="0"/>
        <v>3</v>
      </c>
      <c r="E31" s="70">
        <f t="shared" si="3"/>
        <v>46196</v>
      </c>
      <c r="F31" s="10" t="s">
        <v>23</v>
      </c>
      <c r="G31" s="12">
        <f>IF(OR(AND(F31="N",NOT(OR(C31="mandag",C31="tirsdag",C31="onsdag",C31="torsdag",C31="fredag"))),F31="F"),0,
        IF(OR(
            AND(Masterdata!$B$4&lt;&gt;DATE(1900,1,0), Masterdata!$B$4&lt;$E31),
            AND(Masterdata!$B$3&lt;&gt;DATE(1900,1,0), Masterdata!$B$3&gt;$E31)
        ),
        0, $X$7/(5-H31)))</f>
        <v>0.30833333333333335</v>
      </c>
      <c r="H31" s="86">
        <f>SUMPRODUCT(COUNTIFS(Maj!$A$9:$A$39,$A31,Maj!$D$9:$D$39,"&lt;7",Maj!$F$9:$F$39,"F")+COUNTIFS($A$9:$A$38,$A31,$D$9:$D$38,"&lt;7",$F$9:$F$38,"F")+COUNTIFS(Juli!$A$9:$A$39,$A31,Juli!$D$9:$D$39,"&lt;7",Juli!$F$9:$F$39,"F"))</f>
        <v>0</v>
      </c>
      <c r="I31" s="11">
        <v>0</v>
      </c>
      <c r="J31" s="11">
        <v>0</v>
      </c>
      <c r="K31" s="11">
        <v>0</v>
      </c>
      <c r="L31" s="26" t="str">
        <f t="shared" si="12"/>
        <v>07:24</v>
      </c>
      <c r="M31" s="26" t="str">
        <f>IF(OR(F31="N",F31="F"),"0:00",
IF(
OR(
AND(Masterdata!$B$4&lt;&gt;DATE(1900,1,0),Masterdata!$B$4&lt;$E31),
AND(Masterdata!$B$3&lt;&gt;DATE(1900,1,0),Masterdata!$B$3&gt;$E31)
),"0:00",
IF(
$I31&gt;TIME(0,0,0),
IF(
NOT(OR($C31="mandag",$C31="tirsdag",$C31="onsdag",$C31="torsdag",$C31="fredag")),
TEXT($I31,"[tt]:mm"),
IF($I31-$G31&gt;=0,TEXT($I31-$G31,"[tt]:mm"),"-"&amp;TEXT(ABS($I31-$G31),"[tt]:mm"))
),
IF(
NOT(OR($C31="mandag",$C31="tirsdag",$C31="onsdag",$C31="torsdag",$C31="fredag")),
IF($K31-$J31&gt;=0,TEXT($K31-$J31,"[tt]:mm"),"-"&amp;TEXT(ABS($K31-$J31),"[tt]:mm")),
IF(
$K31-$J31-$G31&gt;=0,
TEXT($K31-$J31-$G31,"[tt]:mm"),
"-"&amp;TEXT(ABS($K31-$J31-$G31),"[tt]:mm")
)
)
)
))</f>
        <v>0:00</v>
      </c>
      <c r="N31" s="71" t="str">
        <f t="shared" si="13"/>
        <v>0</v>
      </c>
      <c r="O31" s="25" t="str">
        <f t="shared" si="5"/>
        <v>0:</v>
      </c>
      <c r="P31" s="52" t="str">
        <f t="shared" si="6"/>
        <v>0</v>
      </c>
      <c r="Q31" s="53">
        <f t="shared" si="10"/>
        <v>0</v>
      </c>
      <c r="R31" s="30">
        <f t="shared" si="14"/>
        <v>0</v>
      </c>
      <c r="S31" s="98"/>
      <c r="T31" s="98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</row>
    <row r="32" spans="1:45" x14ac:dyDescent="0.3">
      <c r="A32" s="7">
        <f t="shared" si="2"/>
        <v>26</v>
      </c>
      <c r="B32" s="8">
        <f t="shared" si="9"/>
        <v>46197</v>
      </c>
      <c r="C32" s="9" t="str" cm="1">
        <f t="array" ref="C32">_xlfn.XLOOKUP(E32,Masterdata!$B$31:$B$44,Masterdata!$A$31:$A$44,_xlfn.SWITCH(WEEKDAY($D32, 2), 1, "mandag", 2, "tirsdag", 3, "onsdag", 4, "torsdag", 5, "fredag", 6, "lørdag", 7, "søndag"),0)</f>
        <v>onsdag</v>
      </c>
      <c r="D32" s="29">
        <f t="shared" si="0"/>
        <v>4</v>
      </c>
      <c r="E32" s="70">
        <f t="shared" si="3"/>
        <v>46197</v>
      </c>
      <c r="F32" s="10" t="s">
        <v>23</v>
      </c>
      <c r="G32" s="12">
        <f>IF(OR(AND(F32="N",NOT(OR(C32="mandag",C32="tirsdag",C32="onsdag",C32="torsdag",C32="fredag"))),F32="F"),0,
        IF(OR(
            AND(Masterdata!$B$4&lt;&gt;DATE(1900,1,0), Masterdata!$B$4&lt;$E32),
            AND(Masterdata!$B$3&lt;&gt;DATE(1900,1,0), Masterdata!$B$3&gt;$E32)
        ),
        0, $X$7/(5-H32)))</f>
        <v>0.30833333333333335</v>
      </c>
      <c r="H32" s="86">
        <f>SUMPRODUCT(COUNTIFS(Maj!$A$9:$A$39,$A32,Maj!$D$9:$D$39,"&lt;7",Maj!$F$9:$F$39,"F")+COUNTIFS($A$9:$A$38,$A32,$D$9:$D$38,"&lt;7",$F$9:$F$38,"F")+COUNTIFS(Juli!$A$9:$A$39,$A32,Juli!$D$9:$D$39,"&lt;7",Juli!$F$9:$F$39,"F"))</f>
        <v>0</v>
      </c>
      <c r="I32" s="11">
        <v>0</v>
      </c>
      <c r="J32" s="11">
        <v>0</v>
      </c>
      <c r="K32" s="11">
        <v>0</v>
      </c>
      <c r="L32" s="26" t="str">
        <f t="shared" si="12"/>
        <v>07:24</v>
      </c>
      <c r="M32" s="26" t="str">
        <f>IF(OR(F32="N",F32="F"),"0:00",
IF(
OR(
AND(Masterdata!$B$4&lt;&gt;DATE(1900,1,0),Masterdata!$B$4&lt;$E32),
AND(Masterdata!$B$3&lt;&gt;DATE(1900,1,0),Masterdata!$B$3&gt;$E32)
),"0:00",
IF(
$I32&gt;TIME(0,0,0),
IF(
NOT(OR($C32="mandag",$C32="tirsdag",$C32="onsdag",$C32="torsdag",$C32="fredag")),
TEXT($I32,"[tt]:mm"),
IF($I32-$G32&gt;=0,TEXT($I32-$G32,"[tt]:mm"),"-"&amp;TEXT(ABS($I32-$G32),"[tt]:mm"))
),
IF(
NOT(OR($C32="mandag",$C32="tirsdag",$C32="onsdag",$C32="torsdag",$C32="fredag")),
IF($K32-$J32&gt;=0,TEXT($K32-$J32,"[tt]:mm"),"-"&amp;TEXT(ABS($K32-$J32),"[tt]:mm")),
IF(
$K32-$J32-$G32&gt;=0,
TEXT($K32-$J32-$G32,"[tt]:mm"),
"-"&amp;TEXT(ABS($K32-$J32-$G32),"[tt]:mm")
)
)
)
))</f>
        <v>0:00</v>
      </c>
      <c r="N32" s="71" t="str">
        <f t="shared" si="13"/>
        <v>0</v>
      </c>
      <c r="O32" s="25" t="str">
        <f t="shared" si="5"/>
        <v>0:</v>
      </c>
      <c r="P32" s="52" t="str">
        <f t="shared" si="6"/>
        <v>0</v>
      </c>
      <c r="Q32" s="53">
        <f t="shared" si="10"/>
        <v>0</v>
      </c>
      <c r="R32" s="30">
        <f t="shared" si="14"/>
        <v>0</v>
      </c>
      <c r="S32" s="98"/>
      <c r="T32" s="98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</row>
    <row r="33" spans="1:45" x14ac:dyDescent="0.3">
      <c r="A33" s="7">
        <f t="shared" si="2"/>
        <v>26</v>
      </c>
      <c r="B33" s="8">
        <f t="shared" si="9"/>
        <v>46198</v>
      </c>
      <c r="C33" s="9" t="str" cm="1">
        <f t="array" ref="C33">_xlfn.XLOOKUP(E33,Masterdata!$B$31:$B$44,Masterdata!$A$31:$A$44,_xlfn.SWITCH(WEEKDAY($D33, 2), 1, "mandag", 2, "tirsdag", 3, "onsdag", 4, "torsdag", 5, "fredag", 6, "lørdag", 7, "søndag"),0)</f>
        <v>torsdag</v>
      </c>
      <c r="D33" s="29">
        <f t="shared" si="0"/>
        <v>5</v>
      </c>
      <c r="E33" s="70">
        <f t="shared" si="3"/>
        <v>46198</v>
      </c>
      <c r="F33" s="10" t="s">
        <v>23</v>
      </c>
      <c r="G33" s="12">
        <f>IF(OR(AND(F33="N",NOT(OR(C33="mandag",C33="tirsdag",C33="onsdag",C33="torsdag",C33="fredag"))),F33="F"),0,
        IF(OR(
            AND(Masterdata!$B$4&lt;&gt;DATE(1900,1,0), Masterdata!$B$4&lt;$E33),
            AND(Masterdata!$B$3&lt;&gt;DATE(1900,1,0), Masterdata!$B$3&gt;$E33)
        ),
        0, $X$7/(5-H33)))</f>
        <v>0.30833333333333335</v>
      </c>
      <c r="H33" s="86">
        <f>SUMPRODUCT(COUNTIFS(Maj!$A$9:$A$39,$A33,Maj!$D$9:$D$39,"&lt;7",Maj!$F$9:$F$39,"F")+COUNTIFS($A$9:$A$38,$A33,$D$9:$D$38,"&lt;7",$F$9:$F$38,"F")+COUNTIFS(Juli!$A$9:$A$39,$A33,Juli!$D$9:$D$39,"&lt;7",Juli!$F$9:$F$39,"F"))</f>
        <v>0</v>
      </c>
      <c r="I33" s="11">
        <v>0</v>
      </c>
      <c r="J33" s="11">
        <v>0</v>
      </c>
      <c r="K33" s="11">
        <v>0</v>
      </c>
      <c r="L33" s="26" t="str">
        <f t="shared" si="12"/>
        <v>07:24</v>
      </c>
      <c r="M33" s="26" t="str">
        <f>IF(OR(F33="N",F33="F"),"0:00",
IF(
OR(
AND(Masterdata!$B$4&lt;&gt;DATE(1900,1,0),Masterdata!$B$4&lt;$E33),
AND(Masterdata!$B$3&lt;&gt;DATE(1900,1,0),Masterdata!$B$3&gt;$E33)
),"0:00",
IF(
$I33&gt;TIME(0,0,0),
IF(
NOT(OR($C33="mandag",$C33="tirsdag",$C33="onsdag",$C33="torsdag",$C33="fredag")),
TEXT($I33,"[tt]:mm"),
IF($I33-$G33&gt;=0,TEXT($I33-$G33,"[tt]:mm"),"-"&amp;TEXT(ABS($I33-$G33),"[tt]:mm"))
),
IF(
NOT(OR($C33="mandag",$C33="tirsdag",$C33="onsdag",$C33="torsdag",$C33="fredag")),
IF($K33-$J33&gt;=0,TEXT($K33-$J33,"[tt]:mm"),"-"&amp;TEXT(ABS($K33-$J33),"[tt]:mm")),
IF(
$K33-$J33-$G33&gt;=0,
TEXT($K33-$J33-$G33,"[tt]:mm"),
"-"&amp;TEXT(ABS($K33-$J33-$G33),"[tt]:mm")
)
)
)
))</f>
        <v>0:00</v>
      </c>
      <c r="N33" s="71" t="str">
        <f t="shared" si="13"/>
        <v>0</v>
      </c>
      <c r="O33" s="25" t="str">
        <f t="shared" si="5"/>
        <v>0:</v>
      </c>
      <c r="P33" s="52" t="str">
        <f t="shared" si="6"/>
        <v>0</v>
      </c>
      <c r="Q33" s="53">
        <f t="shared" si="10"/>
        <v>0</v>
      </c>
      <c r="R33" s="30">
        <f t="shared" si="14"/>
        <v>0</v>
      </c>
      <c r="S33" s="98"/>
      <c r="T33" s="98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</row>
    <row r="34" spans="1:45" x14ac:dyDescent="0.3">
      <c r="A34" s="7">
        <f t="shared" si="2"/>
        <v>26</v>
      </c>
      <c r="B34" s="8">
        <f t="shared" si="9"/>
        <v>46199</v>
      </c>
      <c r="C34" s="9" t="str" cm="1">
        <f t="array" ref="C34">_xlfn.XLOOKUP(E34,Masterdata!$B$31:$B$44,Masterdata!$A$31:$A$44,_xlfn.SWITCH(WEEKDAY($D34, 2), 1, "mandag", 2, "tirsdag", 3, "onsdag", 4, "torsdag", 5, "fredag", 6, "lørdag", 7, "søndag"),0)</f>
        <v>fredag</v>
      </c>
      <c r="D34" s="29">
        <f t="shared" si="0"/>
        <v>6</v>
      </c>
      <c r="E34" s="70">
        <f t="shared" si="3"/>
        <v>46199</v>
      </c>
      <c r="F34" s="10" t="s">
        <v>23</v>
      </c>
      <c r="G34" s="12">
        <f>IF(OR(AND(F34="N",NOT(OR(C34="mandag",C34="tirsdag",C34="onsdag",C34="torsdag",C34="fredag"))),F34="F"),0,
        IF(OR(
            AND(Masterdata!$B$4&lt;&gt;DATE(1900,1,0), Masterdata!$B$4&lt;$E34),
            AND(Masterdata!$B$3&lt;&gt;DATE(1900,1,0), Masterdata!$B$3&gt;$E34)
        ),
        0, $X$7/(5-H34)))</f>
        <v>0.30833333333333335</v>
      </c>
      <c r="H34" s="86">
        <f>SUMPRODUCT(COUNTIFS(Maj!$A$9:$A$39,$A34,Maj!$D$9:$D$39,"&lt;7",Maj!$F$9:$F$39,"F")+COUNTIFS($A$9:$A$38,$A34,$D$9:$D$38,"&lt;7",$F$9:$F$38,"F")+COUNTIFS(Juli!$A$9:$A$39,$A34,Juli!$D$9:$D$39,"&lt;7",Juli!$F$9:$F$39,"F"))</f>
        <v>0</v>
      </c>
      <c r="I34" s="11">
        <v>0</v>
      </c>
      <c r="J34" s="11">
        <v>0</v>
      </c>
      <c r="K34" s="11">
        <v>0</v>
      </c>
      <c r="L34" s="26" t="str">
        <f t="shared" si="12"/>
        <v>07:24</v>
      </c>
      <c r="M34" s="26" t="str">
        <f>IF(OR(F34="N",F34="F"),"0:00",
IF(
OR(
AND(Masterdata!$B$4&lt;&gt;DATE(1900,1,0),Masterdata!$B$4&lt;$E34),
AND(Masterdata!$B$3&lt;&gt;DATE(1900,1,0),Masterdata!$B$3&gt;$E34)
),"0:00",
IF(
$I34&gt;TIME(0,0,0),
IF(
NOT(OR($C34="mandag",$C34="tirsdag",$C34="onsdag",$C34="torsdag",$C34="fredag")),
TEXT($I34,"[tt]:mm"),
IF($I34-$G34&gt;=0,TEXT($I34-$G34,"[tt]:mm"),"-"&amp;TEXT(ABS($I34-$G34),"[tt]:mm"))
),
IF(
NOT(OR($C34="mandag",$C34="tirsdag",$C34="onsdag",$C34="torsdag",$C34="fredag")),
IF($K34-$J34&gt;=0,TEXT($K34-$J34,"[tt]:mm"),"-"&amp;TEXT(ABS($K34-$J34),"[tt]:mm")),
IF(
$K34-$J34-$G34&gt;=0,
TEXT($K34-$J34-$G34,"[tt]:mm"),
"-"&amp;TEXT(ABS($K34-$J34-$G34),"[tt]:mm")
)
)
)
))</f>
        <v>0:00</v>
      </c>
      <c r="N34" s="71" t="str">
        <f t="shared" si="13"/>
        <v>0</v>
      </c>
      <c r="O34" s="25" t="str">
        <f t="shared" si="5"/>
        <v>0:</v>
      </c>
      <c r="P34" s="52" t="str">
        <f t="shared" si="6"/>
        <v>0</v>
      </c>
      <c r="Q34" s="53">
        <f t="shared" si="10"/>
        <v>0</v>
      </c>
      <c r="R34" s="30">
        <f t="shared" si="14"/>
        <v>0</v>
      </c>
      <c r="S34" s="98"/>
      <c r="T34" s="98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</row>
    <row r="35" spans="1:45" x14ac:dyDescent="0.3">
      <c r="A35" s="7">
        <f t="shared" si="2"/>
        <v>26</v>
      </c>
      <c r="B35" s="8">
        <f t="shared" si="9"/>
        <v>46200</v>
      </c>
      <c r="C35" s="9" t="str" cm="1">
        <f t="array" ref="C35">_xlfn.XLOOKUP(E35,Masterdata!$B$31:$B$44,Masterdata!$A$31:$A$44,_xlfn.SWITCH(WEEKDAY($D35, 2), 1, "mandag", 2, "tirsdag", 3, "onsdag", 4, "torsdag", 5, "fredag", 6, "lørdag", 7, "søndag"),0)</f>
        <v>lørdag</v>
      </c>
      <c r="D35" s="29">
        <f t="shared" si="0"/>
        <v>7</v>
      </c>
      <c r="E35" s="70">
        <f t="shared" si="3"/>
        <v>46200</v>
      </c>
      <c r="F35" s="10" t="s">
        <v>23</v>
      </c>
      <c r="G35" s="12">
        <f>IF(OR(AND(F35="N",NOT(OR(C35="mandag",C35="tirsdag",C35="onsdag",C35="torsdag",C35="fredag"))),F35="F"),0,
        IF(OR(
            AND(Masterdata!$B$4&lt;&gt;DATE(1900,1,0), Masterdata!$B$4&lt;$E35),
            AND(Masterdata!$B$3&lt;&gt;DATE(1900,1,0), Masterdata!$B$3&gt;$E35)
        ),
        0, $X$7/(5-H35)))</f>
        <v>0</v>
      </c>
      <c r="H35" s="86">
        <f>SUMPRODUCT(COUNTIFS(Maj!$A$9:$A$39,$A35,Maj!$D$9:$D$39,"&lt;7",Maj!$F$9:$F$39,"F")+COUNTIFS($A$9:$A$38,$A35,$D$9:$D$38,"&lt;7",$F$9:$F$38,"F")+COUNTIFS(Juli!$A$9:$A$39,$A35,Juli!$D$9:$D$39,"&lt;7",Juli!$F$9:$F$39,"F"))</f>
        <v>0</v>
      </c>
      <c r="I35" s="11">
        <v>0</v>
      </c>
      <c r="J35" s="11">
        <v>0</v>
      </c>
      <c r="K35" s="11">
        <v>0</v>
      </c>
      <c r="L35" s="26" t="str">
        <f t="shared" si="12"/>
        <v>00:00</v>
      </c>
      <c r="M35" s="26" t="str">
        <f>IF(OR(F35="N",F35="F"),"0:00",
IF(
OR(
AND(Masterdata!$B$4&lt;&gt;DATE(1900,1,0),Masterdata!$B$4&lt;$E35),
AND(Masterdata!$B$3&lt;&gt;DATE(1900,1,0),Masterdata!$B$3&gt;$E35)
),"0:00",
IF(
$I35&gt;TIME(0,0,0),
IF(
NOT(OR($C35="mandag",$C35="tirsdag",$C35="onsdag",$C35="torsdag",$C35="fredag")),
TEXT($I35,"[tt]:mm"),
IF($I35-$G35&gt;=0,TEXT($I35-$G35,"[tt]:mm"),"-"&amp;TEXT(ABS($I35-$G35),"[tt]:mm"))
),
IF(
NOT(OR($C35="mandag",$C35="tirsdag",$C35="onsdag",$C35="torsdag",$C35="fredag")),
IF($K35-$J35&gt;=0,TEXT($K35-$J35,"[tt]:mm"),"-"&amp;TEXT(ABS($K35-$J35),"[tt]:mm")),
IF(
$K35-$J35-$G35&gt;=0,
TEXT($K35-$J35-$G35,"[tt]:mm"),
"-"&amp;TEXT(ABS($K35-$J35-$G35),"[tt]:mm")
)
)
)
))</f>
        <v>0:00</v>
      </c>
      <c r="N35" s="71" t="str">
        <f t="shared" si="13"/>
        <v>0</v>
      </c>
      <c r="O35" s="25" t="str">
        <f t="shared" si="5"/>
        <v>0:</v>
      </c>
      <c r="P35" s="52" t="str">
        <f t="shared" si="6"/>
        <v>0</v>
      </c>
      <c r="Q35" s="53">
        <f t="shared" si="10"/>
        <v>0</v>
      </c>
      <c r="R35" s="30">
        <f t="shared" si="14"/>
        <v>0</v>
      </c>
      <c r="S35" s="98"/>
      <c r="T35" s="98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</row>
    <row r="36" spans="1:45" x14ac:dyDescent="0.3">
      <c r="A36" s="7">
        <f t="shared" si="2"/>
        <v>26</v>
      </c>
      <c r="B36" s="8">
        <f t="shared" si="9"/>
        <v>46201</v>
      </c>
      <c r="C36" s="9" t="str" cm="1">
        <f t="array" ref="C36">_xlfn.XLOOKUP(E36,Masterdata!$B$31:$B$44,Masterdata!$A$31:$A$44,_xlfn.SWITCH(WEEKDAY($D36, 2), 1, "mandag", 2, "tirsdag", 3, "onsdag", 4, "torsdag", 5, "fredag", 6, "lørdag", 7, "søndag"),0)</f>
        <v>søndag</v>
      </c>
      <c r="D36" s="29">
        <f t="shared" si="0"/>
        <v>8</v>
      </c>
      <c r="E36" s="70">
        <f t="shared" si="3"/>
        <v>46201</v>
      </c>
      <c r="F36" s="10" t="s">
        <v>23</v>
      </c>
      <c r="G36" s="12">
        <f>IF(OR(AND(F36="N",NOT(OR(C36="mandag",C36="tirsdag",C36="onsdag",C36="torsdag",C36="fredag"))),F36="F"),0,
        IF(OR(
            AND(Masterdata!$B$4&lt;&gt;DATE(1900,1,0), Masterdata!$B$4&lt;$E36),
            AND(Masterdata!$B$3&lt;&gt;DATE(1900,1,0), Masterdata!$B$3&gt;$E36)
        ),
        0, $X$7/(5-H36)))</f>
        <v>0</v>
      </c>
      <c r="H36" s="86">
        <f>SUMPRODUCT(COUNTIFS(Maj!$A$9:$A$39,$A36,Maj!$D$9:$D$39,"&lt;7",Maj!$F$9:$F$39,"F")+COUNTIFS($A$9:$A$38,$A36,$D$9:$D$38,"&lt;7",$F$9:$F$38,"F")+COUNTIFS(Juli!$A$9:$A$39,$A36,Juli!$D$9:$D$39,"&lt;7",Juli!$F$9:$F$39,"F"))</f>
        <v>0</v>
      </c>
      <c r="I36" s="11">
        <v>0</v>
      </c>
      <c r="J36" s="11">
        <v>0</v>
      </c>
      <c r="K36" s="11">
        <v>0</v>
      </c>
      <c r="L36" s="26" t="str">
        <f t="shared" si="12"/>
        <v>00:00</v>
      </c>
      <c r="M36" s="26" t="str">
        <f>IF(OR(F36="N",F36="F"),"0:00",
IF(
OR(
AND(Masterdata!$B$4&lt;&gt;DATE(1900,1,0),Masterdata!$B$4&lt;$E36),
AND(Masterdata!$B$3&lt;&gt;DATE(1900,1,0),Masterdata!$B$3&gt;$E36)
),"0:00",
IF(
$I36&gt;TIME(0,0,0),
IF(
NOT(OR($C36="mandag",$C36="tirsdag",$C36="onsdag",$C36="torsdag",$C36="fredag")),
TEXT($I36,"[tt]:mm"),
IF($I36-$G36&gt;=0,TEXT($I36-$G36,"[tt]:mm"),"-"&amp;TEXT(ABS($I36-$G36),"[tt]:mm"))
),
IF(
NOT(OR($C36="mandag",$C36="tirsdag",$C36="onsdag",$C36="torsdag",$C36="fredag")),
IF($K36-$J36&gt;=0,TEXT($K36-$J36,"[tt]:mm"),"-"&amp;TEXT(ABS($K36-$J36),"[tt]:mm")),
IF(
$K36-$J36-$G36&gt;=0,
TEXT($K36-$J36-$G36,"[tt]:mm"),
"-"&amp;TEXT(ABS($K36-$J36-$G36),"[tt]:mm")
)
)
)
))</f>
        <v>0:00</v>
      </c>
      <c r="N36" s="71" t="str">
        <f t="shared" si="13"/>
        <v>0</v>
      </c>
      <c r="O36" s="25" t="str">
        <f t="shared" si="5"/>
        <v>0:</v>
      </c>
      <c r="P36" s="52" t="str">
        <f t="shared" si="6"/>
        <v>0</v>
      </c>
      <c r="Q36" s="53">
        <f t="shared" si="10"/>
        <v>0</v>
      </c>
      <c r="R36" s="30">
        <f t="shared" si="14"/>
        <v>0</v>
      </c>
      <c r="S36" s="98"/>
      <c r="T36" s="98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</row>
    <row r="37" spans="1:45" x14ac:dyDescent="0.3">
      <c r="A37" s="7">
        <f t="shared" si="2"/>
        <v>27</v>
      </c>
      <c r="B37" s="8">
        <f t="shared" si="9"/>
        <v>46202</v>
      </c>
      <c r="C37" s="9" t="str" cm="1">
        <f t="array" ref="C37">_xlfn.XLOOKUP(E37,Masterdata!$B$31:$B$44,Masterdata!$A$31:$A$44,_xlfn.SWITCH(WEEKDAY($D37, 2), 1, "mandag", 2, "tirsdag", 3, "onsdag", 4, "torsdag", 5, "fredag", 6, "lørdag", 7, "søndag"),0)</f>
        <v>mandag</v>
      </c>
      <c r="D37" s="29">
        <f t="shared" si="0"/>
        <v>2</v>
      </c>
      <c r="E37" s="70">
        <f t="shared" si="3"/>
        <v>46202</v>
      </c>
      <c r="F37" s="10" t="s">
        <v>23</v>
      </c>
      <c r="G37" s="12">
        <f>IF(OR(AND(F37="N",NOT(OR(C37="mandag",C37="tirsdag",C37="onsdag",C37="torsdag",C37="fredag"))),F37="F"),0,
        IF(OR(
            AND(Masterdata!$B$4&lt;&gt;DATE(1900,1,0), Masterdata!$B$4&lt;$E37),
            AND(Masterdata!$B$3&lt;&gt;DATE(1900,1,0), Masterdata!$B$3&gt;$E37)
        ),
        0, $X$7/(5-H37)))</f>
        <v>0.30833333333333335</v>
      </c>
      <c r="H37" s="86">
        <f>SUMPRODUCT(COUNTIFS(Maj!$A$9:$A$39,$A37,Maj!$D$9:$D$39,"&lt;7",Maj!$F$9:$F$39,"F")+COUNTIFS($A$9:$A$38,$A37,$D$9:$D$38,"&lt;7",$F$9:$F$38,"F")+COUNTIFS(Juli!$A$9:$A$39,$A37,Juli!$D$9:$D$39,"&lt;7",Juli!$F$9:$F$39,"F"))</f>
        <v>0</v>
      </c>
      <c r="I37" s="11">
        <v>0</v>
      </c>
      <c r="J37" s="11">
        <v>0</v>
      </c>
      <c r="K37" s="11">
        <v>0</v>
      </c>
      <c r="L37" s="26" t="str">
        <f t="shared" si="12"/>
        <v>07:24</v>
      </c>
      <c r="M37" s="26" t="str">
        <f>IF(OR(F37="N",F37="F"),"0:00",
IF(
OR(
AND(Masterdata!$B$4&lt;&gt;DATE(1900,1,0),Masterdata!$B$4&lt;$E37),
AND(Masterdata!$B$3&lt;&gt;DATE(1900,1,0),Masterdata!$B$3&gt;$E37)
),"0:00",
IF(
$I37&gt;TIME(0,0,0),
IF(
NOT(OR($C37="mandag",$C37="tirsdag",$C37="onsdag",$C37="torsdag",$C37="fredag")),
TEXT($I37,"[tt]:mm"),
IF($I37-$G37&gt;=0,TEXT($I37-$G37,"[tt]:mm"),"-"&amp;TEXT(ABS($I37-$G37),"[tt]:mm"))
),
IF(
NOT(OR($C37="mandag",$C37="tirsdag",$C37="onsdag",$C37="torsdag",$C37="fredag")),
IF($K37-$J37&gt;=0,TEXT($K37-$J37,"[tt]:mm"),"-"&amp;TEXT(ABS($K37-$J37),"[tt]:mm")),
IF(
$K37-$J37-$G37&gt;=0,
TEXT($K37-$J37-$G37,"[tt]:mm"),
"-"&amp;TEXT(ABS($K37-$J37-$G37),"[tt]:mm")
)
)
)
))</f>
        <v>0:00</v>
      </c>
      <c r="N37" s="71" t="str">
        <f t="shared" si="13"/>
        <v>0</v>
      </c>
      <c r="O37" s="25" t="str">
        <f t="shared" si="5"/>
        <v>0:</v>
      </c>
      <c r="P37" s="52" t="str">
        <f t="shared" si="6"/>
        <v>0</v>
      </c>
      <c r="Q37" s="53">
        <f t="shared" si="10"/>
        <v>0</v>
      </c>
      <c r="R37" s="30">
        <f t="shared" si="14"/>
        <v>0</v>
      </c>
      <c r="S37" s="98"/>
      <c r="T37" s="98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</row>
    <row r="38" spans="1:45" x14ac:dyDescent="0.3">
      <c r="A38" s="7">
        <f t="shared" si="2"/>
        <v>27</v>
      </c>
      <c r="B38" s="8">
        <f t="shared" si="9"/>
        <v>46203</v>
      </c>
      <c r="C38" s="9" t="str" cm="1">
        <f t="array" ref="C38">_xlfn.XLOOKUP(E38,Masterdata!$B$31:$B$44,Masterdata!$A$31:$A$44,_xlfn.SWITCH(WEEKDAY($D38, 2), 1, "mandag", 2, "tirsdag", 3, "onsdag", 4, "torsdag", 5, "fredag", 6, "lørdag", 7, "søndag"),0)</f>
        <v>tirsdag</v>
      </c>
      <c r="D38" s="29">
        <f t="shared" si="0"/>
        <v>3</v>
      </c>
      <c r="E38" s="70">
        <f t="shared" si="3"/>
        <v>46203</v>
      </c>
      <c r="F38" s="10" t="s">
        <v>23</v>
      </c>
      <c r="G38" s="12">
        <f>IF(OR(AND(F38="N",NOT(OR(C38="mandag",C38="tirsdag",C38="onsdag",C38="torsdag",C38="fredag"))),F38="F"),0,
        IF(OR(
            AND(Masterdata!$B$4&lt;&gt;DATE(1900,1,0), Masterdata!$B$4&lt;$E38),
            AND(Masterdata!$B$3&lt;&gt;DATE(1900,1,0), Masterdata!$B$3&gt;$E38)
        ),
        0, $X$7/(5-H38)))</f>
        <v>0.30833333333333335</v>
      </c>
      <c r="H38" s="86">
        <f>SUMPRODUCT(COUNTIFS(Maj!$A$9:$A$39,$A38,Maj!$D$9:$D$39,"&lt;7",Maj!$F$9:$F$39,"F")+COUNTIFS($A$9:$A$38,$A38,$D$9:$D$38,"&lt;7",$F$9:$F$38,"F")+COUNTIFS(Juli!$A$9:$A$39,$A38,Juli!$D$9:$D$39,"&lt;7",Juli!$F$9:$F$39,"F"))</f>
        <v>0</v>
      </c>
      <c r="I38" s="11">
        <v>0</v>
      </c>
      <c r="J38" s="11">
        <v>0</v>
      </c>
      <c r="K38" s="11">
        <v>0</v>
      </c>
      <c r="L38" s="26" t="str">
        <f t="shared" si="12"/>
        <v>07:24</v>
      </c>
      <c r="M38" s="26" t="str">
        <f>IF(OR(F38="N",F38="F"),"0:00",
IF(
OR(
AND(Masterdata!$B$4&lt;&gt;DATE(1900,1,0),Masterdata!$B$4&lt;$E38),
AND(Masterdata!$B$3&lt;&gt;DATE(1900,1,0),Masterdata!$B$3&gt;$E38)
),"0:00",
IF(
$I38&gt;TIME(0,0,0),
IF(
NOT(OR($C38="mandag",$C38="tirsdag",$C38="onsdag",$C38="torsdag",$C38="fredag")),
TEXT($I38,"[tt]:mm"),
IF($I38-$G38&gt;=0,TEXT($I38-$G38,"[tt]:mm"),"-"&amp;TEXT(ABS($I38-$G38),"[tt]:mm"))
),
IF(
NOT(OR($C38="mandag",$C38="tirsdag",$C38="onsdag",$C38="torsdag",$C38="fredag")),
IF($K38-$J38&gt;=0,TEXT($K38-$J38,"[tt]:mm"),"-"&amp;TEXT(ABS($K38-$J38),"[tt]:mm")),
IF(
$K38-$J38-$G38&gt;=0,
TEXT($K38-$J38-$G38,"[tt]:mm"),
"-"&amp;TEXT(ABS($K38-$J38-$G38),"[tt]:mm")
)
)
)
))</f>
        <v>0:00</v>
      </c>
      <c r="N38" s="71" t="str">
        <f t="shared" si="13"/>
        <v>0</v>
      </c>
      <c r="O38" s="25" t="str">
        <f t="shared" si="5"/>
        <v>0:</v>
      </c>
      <c r="P38" s="52" t="str">
        <f t="shared" si="6"/>
        <v>0</v>
      </c>
      <c r="Q38" s="53">
        <f t="shared" si="10"/>
        <v>0</v>
      </c>
      <c r="R38" s="30">
        <f t="shared" si="14"/>
        <v>0</v>
      </c>
      <c r="S38" s="98"/>
      <c r="T38" s="98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</row>
    <row r="39" spans="1:45" x14ac:dyDescent="0.3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73"/>
      <c r="N39" s="29"/>
      <c r="O39" s="29"/>
      <c r="P39" s="29"/>
      <c r="Q39" s="29"/>
      <c r="R39" s="30">
        <f>SUM(R9:R38)</f>
        <v>0</v>
      </c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</row>
    <row r="40" spans="1:45" x14ac:dyDescent="0.3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</row>
    <row r="41" spans="1:45" x14ac:dyDescent="0.3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</row>
    <row r="42" spans="1:45" x14ac:dyDescent="0.3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</row>
    <row r="43" spans="1:45" x14ac:dyDescent="0.3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</row>
    <row r="44" spans="1:45" x14ac:dyDescent="0.3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</row>
    <row r="45" spans="1:45" x14ac:dyDescent="0.3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</row>
    <row r="46" spans="1:45" x14ac:dyDescent="0.3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</row>
    <row r="47" spans="1:45" x14ac:dyDescent="0.3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</row>
    <row r="48" spans="1:45" x14ac:dyDescent="0.3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</row>
    <row r="49" spans="1:45" x14ac:dyDescent="0.3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</row>
    <row r="50" spans="1:45" x14ac:dyDescent="0.3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</row>
    <row r="51" spans="1:45" x14ac:dyDescent="0.3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</row>
    <row r="52" spans="1:45" x14ac:dyDescent="0.3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</row>
    <row r="53" spans="1:45" x14ac:dyDescent="0.3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</row>
    <row r="54" spans="1:45" x14ac:dyDescent="0.3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</row>
    <row r="55" spans="1:45" x14ac:dyDescent="0.3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</row>
    <row r="56" spans="1:45" x14ac:dyDescent="0.3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</row>
    <row r="57" spans="1:45" x14ac:dyDescent="0.3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</row>
    <row r="58" spans="1:45" x14ac:dyDescent="0.3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</row>
    <row r="59" spans="1:45" x14ac:dyDescent="0.3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</row>
    <row r="60" spans="1:45" x14ac:dyDescent="0.3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</row>
    <row r="61" spans="1:45" x14ac:dyDescent="0.3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</row>
    <row r="62" spans="1:45" x14ac:dyDescent="0.3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</row>
    <row r="63" spans="1:45" x14ac:dyDescent="0.3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</row>
    <row r="64" spans="1:45" x14ac:dyDescent="0.3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</row>
    <row r="65" spans="1:45" x14ac:dyDescent="0.3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</row>
    <row r="66" spans="1:45" x14ac:dyDescent="0.3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</row>
    <row r="67" spans="1:45" x14ac:dyDescent="0.3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</row>
    <row r="68" spans="1:45" x14ac:dyDescent="0.3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</row>
    <row r="69" spans="1:45" x14ac:dyDescent="0.3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</row>
    <row r="70" spans="1:45" x14ac:dyDescent="0.3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</row>
    <row r="71" spans="1:45" x14ac:dyDescent="0.3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</row>
    <row r="72" spans="1:45" x14ac:dyDescent="0.3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</row>
    <row r="73" spans="1:45" x14ac:dyDescent="0.3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</row>
    <row r="74" spans="1:45" x14ac:dyDescent="0.3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</row>
    <row r="75" spans="1:45" x14ac:dyDescent="0.3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</row>
    <row r="76" spans="1:45" x14ac:dyDescent="0.3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</row>
    <row r="77" spans="1:45" x14ac:dyDescent="0.3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</row>
  </sheetData>
  <sheetProtection algorithmName="SHA-512" hashValue="ScW0AUlmdMAUzBBuXuau2o+11fX5GGnexIXJtTZmexpnYBi5p3cOX7EkKQFfz/C2N+89X4pnfZ1NH9VUNmvsUQ==" saltValue="7zeh3ks2MEJWT4NezUpFCw==" spinCount="100000" sheet="1" objects="1" scenarios="1"/>
  <mergeCells count="36">
    <mergeCell ref="S14:T14"/>
    <mergeCell ref="S2:T2"/>
    <mergeCell ref="S3:T3"/>
    <mergeCell ref="S4:T4"/>
    <mergeCell ref="S5:T5"/>
    <mergeCell ref="S6:T6"/>
    <mergeCell ref="S8:T8"/>
    <mergeCell ref="S9:T9"/>
    <mergeCell ref="S10:T10"/>
    <mergeCell ref="S11:T11"/>
    <mergeCell ref="S12:T12"/>
    <mergeCell ref="S13:T13"/>
    <mergeCell ref="S26:T26"/>
    <mergeCell ref="S15:T15"/>
    <mergeCell ref="S16:T16"/>
    <mergeCell ref="S17:T17"/>
    <mergeCell ref="S18:T18"/>
    <mergeCell ref="S19:T19"/>
    <mergeCell ref="S20:T20"/>
    <mergeCell ref="S21:T21"/>
    <mergeCell ref="S22:T22"/>
    <mergeCell ref="S23:T23"/>
    <mergeCell ref="S24:T24"/>
    <mergeCell ref="S25:T25"/>
    <mergeCell ref="S38:T38"/>
    <mergeCell ref="S27:T27"/>
    <mergeCell ref="S28:T28"/>
    <mergeCell ref="S29:T29"/>
    <mergeCell ref="S30:T30"/>
    <mergeCell ref="S31:T31"/>
    <mergeCell ref="S32:T32"/>
    <mergeCell ref="S33:T33"/>
    <mergeCell ref="S34:T34"/>
    <mergeCell ref="S35:T35"/>
    <mergeCell ref="S36:T36"/>
    <mergeCell ref="S37:T37"/>
  </mergeCells>
  <conditionalFormatting sqref="A9:H38">
    <cfRule type="expression" dxfId="34" priority="1">
      <formula>$F9="F"</formula>
    </cfRule>
    <cfRule type="expression" dxfId="33" priority="3">
      <formula>OR(NOT(OR($C9="mandag", $C9="tirsdag",$C9="onsdag",$C9="torsdag",$C9="fredag")),$F9="F")</formula>
    </cfRule>
  </conditionalFormatting>
  <conditionalFormatting sqref="G9:H38">
    <cfRule type="expression" dxfId="32" priority="5">
      <formula>AND($F9="N", (OR($C9="mandag", $C9="tirsdag",$C9="onsdag",$C9="torsdag",$C9="fredag")))</formula>
    </cfRule>
  </conditionalFormatting>
  <conditionalFormatting sqref="I9:K38">
    <cfRule type="expression" dxfId="31" priority="2">
      <formula>OR($F9="N",$F9="F")</formula>
    </cfRule>
    <cfRule type="expression" dxfId="30" priority="4">
      <formula>$F9="R"</formula>
    </cfRule>
  </conditionalFormatting>
  <dataValidations count="2">
    <dataValidation type="list" allowBlank="1" showInputMessage="1" showErrorMessage="1" sqref="F9:F38" xr:uid="{A8AC1422-81F3-4598-AFE4-D208DE324964}">
      <formula1>IF($B$2,$M$3:$M$5,$M$4:$M$5)</formula1>
    </dataValidation>
    <dataValidation type="time" allowBlank="1" showInputMessage="1" showErrorMessage="1" sqref="I9:K38" xr:uid="{AB4F897E-AD73-4910-BDFD-9FF7BCE4B8A2}">
      <formula1>0</formula1>
      <formula2>0.999305555555556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E3CF2-80AE-4D01-8E0D-BE8E4AA21D4A}">
  <dimension ref="A1:AS78"/>
  <sheetViews>
    <sheetView zoomScale="70" zoomScaleNormal="70" workbookViewId="0">
      <selection activeCell="I5" sqref="I5"/>
    </sheetView>
  </sheetViews>
  <sheetFormatPr defaultRowHeight="14.4" outlineLevelCol="1" x14ac:dyDescent="0.3"/>
  <cols>
    <col min="1" max="1" width="15.5546875" customWidth="1"/>
    <col min="2" max="2" width="14.109375" customWidth="1"/>
    <col min="3" max="3" width="16.6640625" customWidth="1"/>
    <col min="4" max="4" width="15" hidden="1" customWidth="1"/>
    <col min="5" max="5" width="12.88671875" hidden="1" customWidth="1"/>
    <col min="6" max="6" width="13.5546875" bestFit="1" customWidth="1"/>
    <col min="7" max="7" width="16.33203125" bestFit="1" customWidth="1"/>
    <col min="8" max="8" width="24.109375" hidden="1" customWidth="1"/>
    <col min="9" max="9" width="17.88671875" customWidth="1"/>
    <col min="10" max="11" width="11.33203125" customWidth="1"/>
    <col min="12" max="12" width="18.6640625" customWidth="1"/>
    <col min="13" max="13" width="11.5546875" customWidth="1"/>
    <col min="14" max="15" width="11.109375" hidden="1" customWidth="1" outlineLevel="1"/>
    <col min="16" max="16" width="7.6640625" hidden="1" customWidth="1" outlineLevel="1"/>
    <col min="17" max="18" width="7.5546875" hidden="1" customWidth="1" outlineLevel="1"/>
    <col min="19" max="19" width="53.44140625" customWidth="1" collapsed="1"/>
    <col min="20" max="20" width="29.44140625" customWidth="1"/>
    <col min="21" max="21" width="9.109375" hidden="1" customWidth="1" outlineLevel="1"/>
    <col min="22" max="22" width="24.6640625" hidden="1" customWidth="1" outlineLevel="1"/>
    <col min="23" max="23" width="43" hidden="1" customWidth="1" outlineLevel="1"/>
    <col min="24" max="24" width="14" hidden="1" customWidth="1" outlineLevel="1"/>
    <col min="25" max="25" width="19.44140625" customWidth="1" outlineLevel="1"/>
  </cols>
  <sheetData>
    <row r="1" spans="1:45" ht="16.5" customHeight="1" thickBot="1" x14ac:dyDescent="0.35">
      <c r="A1" s="14" t="s">
        <v>102</v>
      </c>
      <c r="B1" s="15">
        <v>37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</row>
    <row r="2" spans="1:45" ht="36" customHeight="1" x14ac:dyDescent="0.3">
      <c r="A2" s="39" t="s">
        <v>130</v>
      </c>
      <c r="B2" s="91" t="b">
        <v>0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48" t="s">
        <v>21</v>
      </c>
      <c r="N2" s="67"/>
      <c r="O2" s="67"/>
      <c r="P2" s="67"/>
      <c r="Q2" s="67"/>
      <c r="R2" s="67"/>
      <c r="S2" s="99" t="s">
        <v>22</v>
      </c>
      <c r="T2" s="100"/>
      <c r="U2" s="45"/>
      <c r="W2" s="45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</row>
    <row r="3" spans="1:45" ht="33.75" customHeight="1" x14ac:dyDescent="0.3">
      <c r="A3" s="38" t="s">
        <v>59</v>
      </c>
      <c r="B3" s="68" t="str">
        <f ca="1">Masterdata!$D$27</f>
        <v>00:00</v>
      </c>
      <c r="C3" s="46"/>
      <c r="D3" s="29"/>
      <c r="E3" s="29"/>
      <c r="F3" s="29"/>
      <c r="G3" s="29"/>
      <c r="H3" s="29"/>
      <c r="I3" s="29"/>
      <c r="J3" s="29"/>
      <c r="K3" s="88"/>
      <c r="L3" s="46"/>
      <c r="M3" s="89" t="s">
        <v>49</v>
      </c>
      <c r="N3" s="29"/>
      <c r="O3" s="29"/>
      <c r="P3" s="29"/>
      <c r="Q3" s="29"/>
      <c r="R3" s="29"/>
      <c r="S3" s="101" t="s">
        <v>131</v>
      </c>
      <c r="T3" s="102"/>
      <c r="U3" s="45"/>
      <c r="V3" s="45"/>
      <c r="W3" s="45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</row>
    <row r="4" spans="1:45" ht="28.8" x14ac:dyDescent="0.3">
      <c r="A4" s="39" t="s">
        <v>63</v>
      </c>
      <c r="B4" s="68" t="str">
        <f>IF(R40&lt;0,"-"&amp;TEXT(ABS(R40/24),"[tt]:mm"),TEXT(R40/24,"[tt]:mm"))</f>
        <v>00:00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35" t="s">
        <v>23</v>
      </c>
      <c r="N4" s="29"/>
      <c r="O4" s="29"/>
      <c r="P4" s="29"/>
      <c r="Q4" s="29"/>
      <c r="R4" s="29"/>
      <c r="S4" s="101" t="s">
        <v>24</v>
      </c>
      <c r="T4" s="102"/>
      <c r="U4" s="46"/>
      <c r="V4" s="46"/>
      <c r="W4" s="46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</row>
    <row r="5" spans="1:45" ht="59.1" customHeight="1" x14ac:dyDescent="0.3">
      <c r="A5" s="17" t="s">
        <v>2</v>
      </c>
      <c r="B5" s="40">
        <f>Masterdata!$B$5</f>
        <v>2026</v>
      </c>
      <c r="C5" s="29"/>
      <c r="D5" s="29"/>
      <c r="E5" s="29"/>
      <c r="F5" s="29"/>
      <c r="G5" s="29"/>
      <c r="H5" s="29"/>
      <c r="I5" s="29"/>
      <c r="J5" s="29"/>
      <c r="K5" s="29"/>
      <c r="L5" s="29"/>
      <c r="M5" s="35" t="s">
        <v>25</v>
      </c>
      <c r="N5" s="29"/>
      <c r="O5" s="29"/>
      <c r="P5" s="29"/>
      <c r="Q5" s="29"/>
      <c r="R5" s="29"/>
      <c r="S5" s="103" t="s">
        <v>120</v>
      </c>
      <c r="T5" s="104"/>
      <c r="U5" s="47"/>
      <c r="V5" s="47"/>
      <c r="W5" s="47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</row>
    <row r="6" spans="1:45" ht="15" thickBot="1" x14ac:dyDescent="0.35">
      <c r="A6" s="13" t="s">
        <v>20</v>
      </c>
      <c r="B6" s="18">
        <f>B9</f>
        <v>46204</v>
      </c>
      <c r="C6" s="29"/>
      <c r="D6" s="29"/>
      <c r="E6" s="29"/>
      <c r="F6" s="29"/>
      <c r="G6" s="29"/>
      <c r="H6" s="29"/>
      <c r="I6" s="29"/>
      <c r="J6" s="29"/>
      <c r="K6" s="29"/>
      <c r="L6" s="29"/>
      <c r="M6" s="36" t="s">
        <v>26</v>
      </c>
      <c r="N6" s="69"/>
      <c r="O6" s="69"/>
      <c r="P6" s="69"/>
      <c r="Q6" s="69"/>
      <c r="R6" s="69"/>
      <c r="S6" s="105" t="s">
        <v>27</v>
      </c>
      <c r="T6" s="106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</row>
    <row r="7" spans="1:45" ht="15" thickBot="1" x14ac:dyDescent="0.35">
      <c r="A7" s="29"/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87">
        <f>$B$1/24</f>
        <v>1.5416666666666667</v>
      </c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</row>
    <row r="8" spans="1:45" ht="21.75" customHeight="1" thickBot="1" x14ac:dyDescent="0.35">
      <c r="A8" s="4" t="s">
        <v>28</v>
      </c>
      <c r="B8" s="5" t="s">
        <v>29</v>
      </c>
      <c r="C8" s="5" t="s">
        <v>30</v>
      </c>
      <c r="D8" s="5" t="s">
        <v>31</v>
      </c>
      <c r="E8" s="5" t="s">
        <v>32</v>
      </c>
      <c r="F8" s="5" t="s">
        <v>21</v>
      </c>
      <c r="G8" s="5" t="s">
        <v>102</v>
      </c>
      <c r="H8" s="5" t="s">
        <v>129</v>
      </c>
      <c r="I8" s="5" t="s">
        <v>33</v>
      </c>
      <c r="J8" s="6" t="s">
        <v>34</v>
      </c>
      <c r="K8" s="6" t="s">
        <v>35</v>
      </c>
      <c r="L8" s="6" t="s">
        <v>103</v>
      </c>
      <c r="M8" s="5" t="s">
        <v>36</v>
      </c>
      <c r="N8" s="22" t="s">
        <v>37</v>
      </c>
      <c r="O8" s="23" t="s">
        <v>38</v>
      </c>
      <c r="P8" s="23" t="s">
        <v>39</v>
      </c>
      <c r="Q8" s="23"/>
      <c r="R8" s="29"/>
      <c r="S8" s="107" t="s">
        <v>40</v>
      </c>
      <c r="T8" s="108"/>
      <c r="U8" s="29"/>
      <c r="V8" s="29"/>
      <c r="W8" s="29" t="s">
        <v>41</v>
      </c>
      <c r="X8" s="29">
        <v>5</v>
      </c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</row>
    <row r="9" spans="1:45" x14ac:dyDescent="0.3">
      <c r="A9" s="7">
        <f>WEEKNUM($B9,21)</f>
        <v>27</v>
      </c>
      <c r="B9" s="8">
        <f>DATE(Masterdata!$B$5,7,1)</f>
        <v>46204</v>
      </c>
      <c r="C9" s="9" t="str" cm="1">
        <f t="array" ref="C9">_xlfn.XLOOKUP(E9,Masterdata!$B$31:$B$44,Masterdata!$A$31:$A$44,_xlfn.SWITCH(WEEKDAY($D9, 2), 1, "mandag", 2, "tirsdag", 3, "onsdag", 4, "torsdag", 5, "fredag", 6, "lørdag", 7, "søndag"),0)</f>
        <v>onsdag</v>
      </c>
      <c r="D9" s="29">
        <f t="shared" ref="D9:D39" si="0">WEEKDAY($B9, 2)+1</f>
        <v>4</v>
      </c>
      <c r="E9" s="70">
        <f>$B9</f>
        <v>46204</v>
      </c>
      <c r="F9" s="10" t="s">
        <v>23</v>
      </c>
      <c r="G9" s="12">
        <f>IF(OR(AND(F9="N",NOT(OR(C9="mandag",C9="tirsdag",C9="onsdag",C9="torsdag",C9="fredag"))),F9="F"),0,
        IF(OR(
            AND(Masterdata!$B$4&lt;&gt;DATE(1900,1,0), Masterdata!$B$4&lt;$E9),
            AND(Masterdata!$B$3&lt;&gt;DATE(1900,1,0), Masterdata!$B$3&gt;$E9)
        ),
        0, $X$7/(5-H9)))</f>
        <v>0.30833333333333335</v>
      </c>
      <c r="H9" s="86">
        <f>SUMPRODUCT(COUNTIFS(Juni!$A$9:$A$39,$A9,Juni!$D$9:$D$39,"&lt;7",Juni!$F$9:$F$39,"F")+COUNTIFS($A$9:$A$38,$A9,$D$9:$D$38,"&lt;7",$F$9:$F$38,"F")+COUNTIFS(August!$A$9:$A$39,$A9,August!$D$9:$D$39,"&lt;7",August!$F$9:$F$39,"F"))</f>
        <v>0</v>
      </c>
      <c r="I9" s="11">
        <v>0</v>
      </c>
      <c r="J9" s="11">
        <v>0</v>
      </c>
      <c r="K9" s="11">
        <v>0</v>
      </c>
      <c r="L9" s="26" t="str">
        <f t="shared" ref="L9:L15" si="1">IF($F9="F","00:00",
IF($F9="N",TEXT($G9,"[tt]:mm"),
IF($I9&lt;&gt;0,TEXT($I9,"[tt]:mm"),
IF($K9-$J9&gt;=0,
TEXT($K9-$J9,"[tt]:mm"),
"-"&amp;TEXT(ABS($K9-$J9),"[tt]:mm")))))</f>
        <v>07:24</v>
      </c>
      <c r="M9" s="26" t="str">
        <f>IF(OR(F9="N",F9="F"),"0:00",
IF(
OR(
AND(Masterdata!$B$4&lt;&gt;DATE(1900,1,0),Masterdata!$B$4&lt;$E9),
AND(Masterdata!$B$3&lt;&gt;DATE(1900,1,0),Masterdata!$B$3&gt;$E9)
),"0:00",
IF(
$I9&gt;TIME(0,0,0),
IF(
NOT(OR($C9="mandag",$C9="tirsdag",$C9="onsdag",$C9="torsdag",$C9="fredag")),
TEXT($I9,"[tt]:mm"),
IF($I9-$G9&gt;=0,TEXT($I9-$G9,"[tt]:mm"),"-"&amp;TEXT(ABS($I9-$G9),"[tt]:mm"))
),
IF(
NOT(OR($C9="mandag",$C9="tirsdag",$C9="onsdag",$C9="torsdag",$C9="fredag")),
IF($K9-$J9&gt;=0,TEXT($K9-$J9,"[tt]:mm"),"-"&amp;TEXT(ABS($K9-$J9),"[tt]:mm")),
IF(
$K9-$J9-$G9&gt;=0,
TEXT($K9-$J9-$G9,"[tt]:mm"),
"-"&amp;TEXT(ABS($K9-$J9-$G9),"[tt]:mm")
)
)
)
))</f>
        <v>0:00</v>
      </c>
      <c r="N9" s="71" t="str">
        <f>LEFT(M9,1)</f>
        <v>0</v>
      </c>
      <c r="O9" s="25" t="str">
        <f>IF($N9="-",LEFT($M9,3),LEFT($M9,2))</f>
        <v>0:</v>
      </c>
      <c r="P9" s="52" t="str">
        <f>IF($N9="-",MID($M9,5,2),MID($M9,4,2))</f>
        <v>0</v>
      </c>
      <c r="Q9" s="53">
        <f>P9/60</f>
        <v>0</v>
      </c>
      <c r="R9" s="30">
        <f>IF(N9="-",O9-Q9,O9+Q9)</f>
        <v>0</v>
      </c>
      <c r="S9" s="109"/>
      <c r="T9" s="109"/>
      <c r="U9" s="29"/>
      <c r="V9" s="29"/>
      <c r="W9" s="29" t="s">
        <v>42</v>
      </c>
      <c r="X9" s="72">
        <f>$B$1/X8</f>
        <v>7.4</v>
      </c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</row>
    <row r="10" spans="1:45" x14ac:dyDescent="0.3">
      <c r="A10" s="7">
        <f t="shared" ref="A10:A39" si="2">WEEKNUM($B10,21)</f>
        <v>27</v>
      </c>
      <c r="B10" s="8">
        <f>B9+1</f>
        <v>46205</v>
      </c>
      <c r="C10" s="9" t="str" cm="1">
        <f t="array" ref="C10">_xlfn.XLOOKUP(E10,Masterdata!$B$31:$B$44,Masterdata!$A$31:$A$44,_xlfn.SWITCH(WEEKDAY($D10, 2), 1, "mandag", 2, "tirsdag", 3, "onsdag", 4, "torsdag", 5, "fredag", 6, "lørdag", 7, "søndag"),0)</f>
        <v>torsdag</v>
      </c>
      <c r="D10" s="29">
        <f t="shared" si="0"/>
        <v>5</v>
      </c>
      <c r="E10" s="70">
        <f t="shared" ref="E10:E39" si="3">$B10</f>
        <v>46205</v>
      </c>
      <c r="F10" s="10" t="s">
        <v>23</v>
      </c>
      <c r="G10" s="12">
        <f>IF(OR(AND(F10="N",NOT(OR(C10="mandag",C10="tirsdag",C10="onsdag",C10="torsdag",C10="fredag"))),F10="F"),0,
        IF(OR(
            AND(Masterdata!$B$4&lt;&gt;DATE(1900,1,0), Masterdata!$B$4&lt;$E10),
            AND(Masterdata!$B$3&lt;&gt;DATE(1900,1,0), Masterdata!$B$3&gt;$E10)
        ),
        0, $X$7/(5-H10)))</f>
        <v>0.30833333333333335</v>
      </c>
      <c r="H10" s="86">
        <f>SUMPRODUCT(COUNTIFS(Juni!$A$9:$A$39,$A10,Juni!$D$9:$D$39,"&lt;7",Juni!$F$9:$F$39,"F")+COUNTIFS($A$9:$A$38,$A10,$D$9:$D$38,"&lt;7",$F$9:$F$38,"F")+COUNTIFS(August!$A$9:$A$39,$A10,August!$D$9:$D$39,"&lt;7",August!$F$9:$F$39,"F"))</f>
        <v>0</v>
      </c>
      <c r="I10" s="11">
        <v>0</v>
      </c>
      <c r="J10" s="11">
        <v>0</v>
      </c>
      <c r="K10" s="11">
        <v>0</v>
      </c>
      <c r="L10" s="26" t="str">
        <f t="shared" si="1"/>
        <v>07:24</v>
      </c>
      <c r="M10" s="26" t="str">
        <f>IF(OR(F10="N",F10="F"),"0:00",
IF(
OR(
AND(Masterdata!$B$4&lt;&gt;DATE(1900,1,0),Masterdata!$B$4&lt;$E10),
AND(Masterdata!$B$3&lt;&gt;DATE(1900,1,0),Masterdata!$B$3&gt;$E10)
),"0:00",
IF(
$I10&gt;TIME(0,0,0),
IF(
NOT(OR($C10="mandag",$C10="tirsdag",$C10="onsdag",$C10="torsdag",$C10="fredag")),
TEXT($I10,"[tt]:mm"),
IF($I10-$G10&gt;=0,TEXT($I10-$G10,"[tt]:mm"),"-"&amp;TEXT(ABS($I10-$G10),"[tt]:mm"))
),
IF(
NOT(OR($C10="mandag",$C10="tirsdag",$C10="onsdag",$C10="torsdag",$C10="fredag")),
IF($K10-$J10&gt;=0,TEXT($K10-$J10,"[tt]:mm"),"-"&amp;TEXT(ABS($K10-$J10),"[tt]:mm")),
IF(
$K10-$J10-$G10&gt;=0,
TEXT($K10-$J10-$G10,"[tt]:mm"),
"-"&amp;TEXT(ABS($K10-$J10-$G10),"[tt]:mm")
)
)
)
))</f>
        <v>0:00</v>
      </c>
      <c r="N10" s="71" t="str">
        <f t="shared" ref="N10:N20" si="4">LEFT(M10,1)</f>
        <v>0</v>
      </c>
      <c r="O10" s="25" t="str">
        <f t="shared" ref="O10:O39" si="5">IF($N10="-",LEFT($M10,3),LEFT($M10,2))</f>
        <v>0:</v>
      </c>
      <c r="P10" s="52" t="str">
        <f t="shared" ref="P10:P39" si="6">IF($N10="-",MID($M10,5,2),MID($M10,4,2))</f>
        <v>0</v>
      </c>
      <c r="Q10" s="53">
        <f t="shared" ref="Q10:Q14" si="7">P10/60</f>
        <v>0</v>
      </c>
      <c r="R10" s="30">
        <f t="shared" ref="R10:R14" si="8">IF(N10="-",O10-Q10,O10+Q10)</f>
        <v>0</v>
      </c>
      <c r="S10" s="109"/>
      <c r="T10" s="109"/>
      <c r="U10" s="29"/>
      <c r="V10" s="29"/>
      <c r="W10" s="29" t="s">
        <v>43</v>
      </c>
      <c r="X10" s="73">
        <f>X9/24</f>
        <v>0.30833333333333335</v>
      </c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</row>
    <row r="11" spans="1:45" x14ac:dyDescent="0.3">
      <c r="A11" s="7">
        <f t="shared" si="2"/>
        <v>27</v>
      </c>
      <c r="B11" s="8">
        <f t="shared" ref="B11:B39" si="9">B10+1</f>
        <v>46206</v>
      </c>
      <c r="C11" s="9" t="str" cm="1">
        <f t="array" ref="C11">_xlfn.XLOOKUP(E11,Masterdata!$B$31:$B$44,Masterdata!$A$31:$A$44,_xlfn.SWITCH(WEEKDAY($D11, 2), 1, "mandag", 2, "tirsdag", 3, "onsdag", 4, "torsdag", 5, "fredag", 6, "lørdag", 7, "søndag"),0)</f>
        <v>fredag</v>
      </c>
      <c r="D11" s="29">
        <f t="shared" si="0"/>
        <v>6</v>
      </c>
      <c r="E11" s="70">
        <f t="shared" si="3"/>
        <v>46206</v>
      </c>
      <c r="F11" s="10" t="s">
        <v>23</v>
      </c>
      <c r="G11" s="12">
        <f>IF(OR(AND(F11="N",NOT(OR(C11="mandag",C11="tirsdag",C11="onsdag",C11="torsdag",C11="fredag"))),F11="F"),0,
        IF(OR(
            AND(Masterdata!$B$4&lt;&gt;DATE(1900,1,0), Masterdata!$B$4&lt;$E11),
            AND(Masterdata!$B$3&lt;&gt;DATE(1900,1,0), Masterdata!$B$3&gt;$E11)
        ),
        0, $X$7/(5-H11)))</f>
        <v>0.30833333333333335</v>
      </c>
      <c r="H11" s="86">
        <f>SUMPRODUCT(COUNTIFS(Juni!$A$9:$A$39,$A11,Juni!$D$9:$D$39,"&lt;7",Juni!$F$9:$F$39,"F")+COUNTIFS($A$9:$A$38,$A11,$D$9:$D$38,"&lt;7",$F$9:$F$38,"F")+COUNTIFS(August!$A$9:$A$39,$A11,August!$D$9:$D$39,"&lt;7",August!$F$9:$F$39,"F"))</f>
        <v>0</v>
      </c>
      <c r="I11" s="11">
        <v>0</v>
      </c>
      <c r="J11" s="11">
        <v>0</v>
      </c>
      <c r="K11" s="11">
        <v>0</v>
      </c>
      <c r="L11" s="26" t="str">
        <f t="shared" si="1"/>
        <v>07:24</v>
      </c>
      <c r="M11" s="26" t="str">
        <f>IF(OR(F11="N",F11="F"),"0:00",
IF(
OR(
AND(Masterdata!$B$4&lt;&gt;DATE(1900,1,0),Masterdata!$B$4&lt;$E11),
AND(Masterdata!$B$3&lt;&gt;DATE(1900,1,0),Masterdata!$B$3&gt;$E11)
),"0:00",
IF(
$I11&gt;TIME(0,0,0),
IF(
NOT(OR($C11="mandag",$C11="tirsdag",$C11="onsdag",$C11="torsdag",$C11="fredag")),
TEXT($I11,"[tt]:mm"),
IF($I11-$G11&gt;=0,TEXT($I11-$G11,"[tt]:mm"),"-"&amp;TEXT(ABS($I11-$G11),"[tt]:mm"))
),
IF(
NOT(OR($C11="mandag",$C11="tirsdag",$C11="onsdag",$C11="torsdag",$C11="fredag")),
IF($K11-$J11&gt;=0,TEXT($K11-$J11,"[tt]:mm"),"-"&amp;TEXT(ABS($K11-$J11),"[tt]:mm")),
IF(
$K11-$J11-$G11&gt;=0,
TEXT($K11-$J11-$G11,"[tt]:mm"),
"-"&amp;TEXT(ABS($K11-$J11-$G11),"[tt]:mm")
)
)
)
))</f>
        <v>0:00</v>
      </c>
      <c r="N11" s="71" t="str">
        <f t="shared" si="4"/>
        <v>0</v>
      </c>
      <c r="O11" s="25" t="str">
        <f t="shared" si="5"/>
        <v>0:</v>
      </c>
      <c r="P11" s="52" t="str">
        <f t="shared" si="6"/>
        <v>0</v>
      </c>
      <c r="Q11" s="53">
        <f t="shared" si="7"/>
        <v>0</v>
      </c>
      <c r="R11" s="30">
        <f t="shared" si="8"/>
        <v>0</v>
      </c>
      <c r="S11" s="109"/>
      <c r="T11" s="109"/>
      <c r="U11" s="29" t="s">
        <v>23</v>
      </c>
      <c r="V11" s="29" t="s">
        <v>44</v>
      </c>
      <c r="W11" s="29" t="s">
        <v>45</v>
      </c>
      <c r="X11" s="30">
        <f>(B1/37)*160.33</f>
        <v>160.33000000000001</v>
      </c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</row>
    <row r="12" spans="1:45" x14ac:dyDescent="0.3">
      <c r="A12" s="7">
        <f t="shared" si="2"/>
        <v>27</v>
      </c>
      <c r="B12" s="8">
        <f t="shared" si="9"/>
        <v>46207</v>
      </c>
      <c r="C12" s="9" t="str" cm="1">
        <f t="array" ref="C12">_xlfn.XLOOKUP(E12,Masterdata!$B$31:$B$44,Masterdata!$A$31:$A$44,_xlfn.SWITCH(WEEKDAY($D12, 2), 1, "mandag", 2, "tirsdag", 3, "onsdag", 4, "torsdag", 5, "fredag", 6, "lørdag", 7, "søndag"),0)</f>
        <v>lørdag</v>
      </c>
      <c r="D12" s="29">
        <f t="shared" si="0"/>
        <v>7</v>
      </c>
      <c r="E12" s="70">
        <f t="shared" si="3"/>
        <v>46207</v>
      </c>
      <c r="F12" s="10" t="s">
        <v>23</v>
      </c>
      <c r="G12" s="12">
        <f>IF(OR(AND(F12="N",NOT(OR(C12="mandag",C12="tirsdag",C12="onsdag",C12="torsdag",C12="fredag"))),F12="F"),0,
        IF(OR(
            AND(Masterdata!$B$4&lt;&gt;DATE(1900,1,0), Masterdata!$B$4&lt;$E12),
            AND(Masterdata!$B$3&lt;&gt;DATE(1900,1,0), Masterdata!$B$3&gt;$E12)
        ),
        0, $X$7/(5-H12)))</f>
        <v>0</v>
      </c>
      <c r="H12" s="86">
        <f>SUMPRODUCT(COUNTIFS(Juni!$A$9:$A$39,$A12,Juni!$D$9:$D$39,"&lt;7",Juni!$F$9:$F$39,"F")+COUNTIFS($A$9:$A$38,$A12,$D$9:$D$38,"&lt;7",$F$9:$F$38,"F")+COUNTIFS(August!$A$9:$A$39,$A12,August!$D$9:$D$39,"&lt;7",August!$F$9:$F$39,"F"))</f>
        <v>0</v>
      </c>
      <c r="I12" s="11">
        <v>0</v>
      </c>
      <c r="J12" s="11">
        <v>0</v>
      </c>
      <c r="K12" s="11">
        <v>0</v>
      </c>
      <c r="L12" s="26" t="str">
        <f t="shared" si="1"/>
        <v>00:00</v>
      </c>
      <c r="M12" s="26" t="str">
        <f>IF(OR(F12="N",F12="F"),"0:00",
IF(
OR(
AND(Masterdata!$B$4&lt;&gt;DATE(1900,1,0),Masterdata!$B$4&lt;$E12),
AND(Masterdata!$B$3&lt;&gt;DATE(1900,1,0),Masterdata!$B$3&gt;$E12)
),"0:00",
IF(
$I12&gt;TIME(0,0,0),
IF(
NOT(OR($C12="mandag",$C12="tirsdag",$C12="onsdag",$C12="torsdag",$C12="fredag")),
TEXT($I12,"[tt]:mm"),
IF($I12-$G12&gt;=0,TEXT($I12-$G12,"[tt]:mm"),"-"&amp;TEXT(ABS($I12-$G12),"[tt]:mm"))
),
IF(
NOT(OR($C12="mandag",$C12="tirsdag",$C12="onsdag",$C12="torsdag",$C12="fredag")),
IF($K12-$J12&gt;=0,TEXT($K12-$J12,"[tt]:mm"),"-"&amp;TEXT(ABS($K12-$J12),"[tt]:mm")),
IF(
$K12-$J12-$G12&gt;=0,
TEXT($K12-$J12-$G12,"[tt]:mm"),
"-"&amp;TEXT(ABS($K12-$J12-$G12),"[tt]:mm")
)
)
)
))</f>
        <v>0:00</v>
      </c>
      <c r="N12" s="71" t="str">
        <f t="shared" si="4"/>
        <v>0</v>
      </c>
      <c r="O12" s="25" t="str">
        <f t="shared" si="5"/>
        <v>0:</v>
      </c>
      <c r="P12" s="52" t="str">
        <f t="shared" si="6"/>
        <v>0</v>
      </c>
      <c r="Q12" s="53">
        <f t="shared" si="7"/>
        <v>0</v>
      </c>
      <c r="R12" s="30">
        <f t="shared" si="8"/>
        <v>0</v>
      </c>
      <c r="S12" s="109"/>
      <c r="T12" s="10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</row>
    <row r="13" spans="1:45" x14ac:dyDescent="0.3">
      <c r="A13" s="7">
        <f t="shared" si="2"/>
        <v>27</v>
      </c>
      <c r="B13" s="8">
        <f t="shared" si="9"/>
        <v>46208</v>
      </c>
      <c r="C13" s="9" t="str" cm="1">
        <f t="array" ref="C13">_xlfn.XLOOKUP(E13,Masterdata!$B$31:$B$44,Masterdata!$A$31:$A$44,_xlfn.SWITCH(WEEKDAY($D13, 2), 1, "mandag", 2, "tirsdag", 3, "onsdag", 4, "torsdag", 5, "fredag", 6, "lørdag", 7, "søndag"),0)</f>
        <v>søndag</v>
      </c>
      <c r="D13" s="29">
        <f t="shared" si="0"/>
        <v>8</v>
      </c>
      <c r="E13" s="70">
        <f t="shared" si="3"/>
        <v>46208</v>
      </c>
      <c r="F13" s="10" t="s">
        <v>23</v>
      </c>
      <c r="G13" s="12">
        <f>IF(OR(AND(F13="N",NOT(OR(C13="mandag",C13="tirsdag",C13="onsdag",C13="torsdag",C13="fredag"))),F13="F"),0,
        IF(OR(
            AND(Masterdata!$B$4&lt;&gt;DATE(1900,1,0), Masterdata!$B$4&lt;$E13),
            AND(Masterdata!$B$3&lt;&gt;DATE(1900,1,0), Masterdata!$B$3&gt;$E13)
        ),
        0, $X$7/(5-H13)))</f>
        <v>0</v>
      </c>
      <c r="H13" s="86">
        <f>SUMPRODUCT(COUNTIFS(Juni!$A$9:$A$39,$A13,Juni!$D$9:$D$39,"&lt;7",Juni!$F$9:$F$39,"F")+COUNTIFS($A$9:$A$38,$A13,$D$9:$D$38,"&lt;7",$F$9:$F$38,"F")+COUNTIFS(August!$A$9:$A$39,$A13,August!$D$9:$D$39,"&lt;7",August!$F$9:$F$39,"F"))</f>
        <v>0</v>
      </c>
      <c r="I13" s="11">
        <v>0</v>
      </c>
      <c r="J13" s="11">
        <v>0</v>
      </c>
      <c r="K13" s="11">
        <v>0</v>
      </c>
      <c r="L13" s="26" t="str">
        <f t="shared" si="1"/>
        <v>00:00</v>
      </c>
      <c r="M13" s="26" t="str">
        <f>IF(OR(F13="N",F13="F"),"0:00",
IF(
OR(
AND(Masterdata!$B$4&lt;&gt;DATE(1900,1,0),Masterdata!$B$4&lt;$E13),
AND(Masterdata!$B$3&lt;&gt;DATE(1900,1,0),Masterdata!$B$3&gt;$E13)
),"0:00",
IF(
$I13&gt;TIME(0,0,0),
IF(
NOT(OR($C13="mandag",$C13="tirsdag",$C13="onsdag",$C13="torsdag",$C13="fredag")),
TEXT($I13,"[tt]:mm"),
IF($I13-$G13&gt;=0,TEXT($I13-$G13,"[tt]:mm"),"-"&amp;TEXT(ABS($I13-$G13),"[tt]:mm"))
),
IF(
NOT(OR($C13="mandag",$C13="tirsdag",$C13="onsdag",$C13="torsdag",$C13="fredag")),
IF($K13-$J13&gt;=0,TEXT($K13-$J13,"[tt]:mm"),"-"&amp;TEXT(ABS($K13-$J13),"[tt]:mm")),
IF(
$K13-$J13-$G13&gt;=0,
TEXT($K13-$J13-$G13,"[tt]:mm"),
"-"&amp;TEXT(ABS($K13-$J13-$G13),"[tt]:mm")
)
)
)
))</f>
        <v>0:00</v>
      </c>
      <c r="N13" s="71" t="str">
        <f t="shared" si="4"/>
        <v>0</v>
      </c>
      <c r="O13" s="25" t="str">
        <f t="shared" si="5"/>
        <v>0:</v>
      </c>
      <c r="P13" s="52" t="str">
        <f t="shared" si="6"/>
        <v>0</v>
      </c>
      <c r="Q13" s="53">
        <f t="shared" si="7"/>
        <v>0</v>
      </c>
      <c r="R13" s="30">
        <f t="shared" si="8"/>
        <v>0</v>
      </c>
      <c r="S13" s="109"/>
      <c r="T13" s="109"/>
      <c r="U13" s="29"/>
      <c r="V13" s="29"/>
      <c r="W13" s="29"/>
      <c r="X13" s="30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</row>
    <row r="14" spans="1:45" x14ac:dyDescent="0.3">
      <c r="A14" s="7">
        <f t="shared" si="2"/>
        <v>28</v>
      </c>
      <c r="B14" s="8">
        <f t="shared" si="9"/>
        <v>46209</v>
      </c>
      <c r="C14" s="9" t="str" cm="1">
        <f t="array" ref="C14">_xlfn.XLOOKUP(E14,Masterdata!$B$31:$B$44,Masterdata!$A$31:$A$44,_xlfn.SWITCH(WEEKDAY($D14, 2), 1, "mandag", 2, "tirsdag", 3, "onsdag", 4, "torsdag", 5, "fredag", 6, "lørdag", 7, "søndag"),0)</f>
        <v>mandag</v>
      </c>
      <c r="D14" s="29">
        <f t="shared" si="0"/>
        <v>2</v>
      </c>
      <c r="E14" s="70">
        <f t="shared" si="3"/>
        <v>46209</v>
      </c>
      <c r="F14" s="10" t="s">
        <v>23</v>
      </c>
      <c r="G14" s="12">
        <f>IF(OR(AND(F14="N",NOT(OR(C14="mandag",C14="tirsdag",C14="onsdag",C14="torsdag",C14="fredag"))),F14="F"),0,
        IF(OR(
            AND(Masterdata!$B$4&lt;&gt;DATE(1900,1,0), Masterdata!$B$4&lt;$E14),
            AND(Masterdata!$B$3&lt;&gt;DATE(1900,1,0), Masterdata!$B$3&gt;$E14)
        ),
        0, $X$7/(5-H14)))</f>
        <v>0.30833333333333335</v>
      </c>
      <c r="H14" s="86">
        <f>SUMPRODUCT(COUNTIFS(Juni!$A$9:$A$39,$A14,Juni!$D$9:$D$39,"&lt;7",Juni!$F$9:$F$39,"F")+COUNTIFS($A$9:$A$38,$A14,$D$9:$D$38,"&lt;7",$F$9:$F$38,"F")+COUNTIFS(August!$A$9:$A$39,$A14,August!$D$9:$D$39,"&lt;7",August!$F$9:$F$39,"F"))</f>
        <v>0</v>
      </c>
      <c r="I14" s="11">
        <v>0</v>
      </c>
      <c r="J14" s="11">
        <v>0</v>
      </c>
      <c r="K14" s="11">
        <v>0</v>
      </c>
      <c r="L14" s="26" t="str">
        <f t="shared" si="1"/>
        <v>07:24</v>
      </c>
      <c r="M14" s="26" t="str">
        <f>IF(OR(F14="N",F14="F"),"0:00",
IF(
OR(
AND(Masterdata!$B$4&lt;&gt;DATE(1900,1,0),Masterdata!$B$4&lt;$E14),
AND(Masterdata!$B$3&lt;&gt;DATE(1900,1,0),Masterdata!$B$3&gt;$E14)
),"0:00",
IF(
$I14&gt;TIME(0,0,0),
IF(
NOT(OR($C14="mandag",$C14="tirsdag",$C14="onsdag",$C14="torsdag",$C14="fredag")),
TEXT($I14,"[tt]:mm"),
IF($I14-$G14&gt;=0,TEXT($I14-$G14,"[tt]:mm"),"-"&amp;TEXT(ABS($I14-$G14),"[tt]:mm"))
),
IF(
NOT(OR($C14="mandag",$C14="tirsdag",$C14="onsdag",$C14="torsdag",$C14="fredag")),
IF($K14-$J14&gt;=0,TEXT($K14-$J14,"[tt]:mm"),"-"&amp;TEXT(ABS($K14-$J14),"[tt]:mm")),
IF(
$K14-$J14-$G14&gt;=0,
TEXT($K14-$J14-$G14,"[tt]:mm"),
"-"&amp;TEXT(ABS($K14-$J14-$G14),"[tt]:mm")
)
)
)
))</f>
        <v>0:00</v>
      </c>
      <c r="N14" s="71" t="str">
        <f t="shared" si="4"/>
        <v>0</v>
      </c>
      <c r="O14" s="25" t="str">
        <f t="shared" si="5"/>
        <v>0:</v>
      </c>
      <c r="P14" s="52" t="str">
        <f t="shared" si="6"/>
        <v>0</v>
      </c>
      <c r="Q14" s="53">
        <f t="shared" si="7"/>
        <v>0</v>
      </c>
      <c r="R14" s="30">
        <f t="shared" si="8"/>
        <v>0</v>
      </c>
      <c r="S14" s="98"/>
      <c r="T14" s="98"/>
      <c r="U14" s="29"/>
      <c r="V14" s="29"/>
      <c r="W14" s="29"/>
      <c r="X14" s="74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</row>
    <row r="15" spans="1:45" x14ac:dyDescent="0.3">
      <c r="A15" s="7">
        <f t="shared" si="2"/>
        <v>28</v>
      </c>
      <c r="B15" s="8">
        <f t="shared" si="9"/>
        <v>46210</v>
      </c>
      <c r="C15" s="9" t="str" cm="1">
        <f t="array" ref="C15">_xlfn.XLOOKUP(E15,Masterdata!$B$31:$B$44,Masterdata!$A$31:$A$44,_xlfn.SWITCH(WEEKDAY($D15, 2), 1, "mandag", 2, "tirsdag", 3, "onsdag", 4, "torsdag", 5, "fredag", 6, "lørdag", 7, "søndag"),0)</f>
        <v>tirsdag</v>
      </c>
      <c r="D15" s="29">
        <f t="shared" si="0"/>
        <v>3</v>
      </c>
      <c r="E15" s="70">
        <f t="shared" si="3"/>
        <v>46210</v>
      </c>
      <c r="F15" s="10" t="s">
        <v>23</v>
      </c>
      <c r="G15" s="12">
        <f>IF(OR(AND(F15="N",NOT(OR(C15="mandag",C15="tirsdag",C15="onsdag",C15="torsdag",C15="fredag"))),F15="F"),0,
        IF(OR(
            AND(Masterdata!$B$4&lt;&gt;DATE(1900,1,0), Masterdata!$B$4&lt;$E15),
            AND(Masterdata!$B$3&lt;&gt;DATE(1900,1,0), Masterdata!$B$3&gt;$E15)
        ),
        0, $X$7/(5-H15)))</f>
        <v>0.30833333333333335</v>
      </c>
      <c r="H15" s="86">
        <f>SUMPRODUCT(COUNTIFS(Juni!$A$9:$A$39,$A15,Juni!$D$9:$D$39,"&lt;7",Juni!$F$9:$F$39,"F")+COUNTIFS($A$9:$A$38,$A15,$D$9:$D$38,"&lt;7",$F$9:$F$38,"F")+COUNTIFS(August!$A$9:$A$39,$A15,August!$D$9:$D$39,"&lt;7",August!$F$9:$F$39,"F"))</f>
        <v>0</v>
      </c>
      <c r="I15" s="11">
        <v>0</v>
      </c>
      <c r="J15" s="11">
        <v>0</v>
      </c>
      <c r="K15" s="11">
        <v>0</v>
      </c>
      <c r="L15" s="26" t="str">
        <f t="shared" si="1"/>
        <v>07:24</v>
      </c>
      <c r="M15" s="26" t="str">
        <f>IF(OR(F15="N",F15="F"),"0:00",
IF(
OR(
AND(Masterdata!$B$4&lt;&gt;DATE(1900,1,0),Masterdata!$B$4&lt;$E15),
AND(Masterdata!$B$3&lt;&gt;DATE(1900,1,0),Masterdata!$B$3&gt;$E15)
),"0:00",
IF(
$I15&gt;TIME(0,0,0),
IF(
NOT(OR($C15="mandag",$C15="tirsdag",$C15="onsdag",$C15="torsdag",$C15="fredag")),
TEXT($I15,"[tt]:mm"),
IF($I15-$G15&gt;=0,TEXT($I15-$G15,"[tt]:mm"),"-"&amp;TEXT(ABS($I15-$G15),"[tt]:mm"))
),
IF(
NOT(OR($C15="mandag",$C15="tirsdag",$C15="onsdag",$C15="torsdag",$C15="fredag")),
IF($K15-$J15&gt;=0,TEXT($K15-$J15,"[tt]:mm"),"-"&amp;TEXT(ABS($K15-$J15),"[tt]:mm")),
IF(
$K15-$J15-$G15&gt;=0,
TEXT($K15-$J15-$G15,"[tt]:mm"),
"-"&amp;TEXT(ABS($K15-$J15-$G15),"[tt]:mm")
)
)
)
))</f>
        <v>0:00</v>
      </c>
      <c r="N15" s="71" t="str">
        <f t="shared" si="4"/>
        <v>0</v>
      </c>
      <c r="O15" s="25" t="str">
        <f t="shared" si="5"/>
        <v>0:</v>
      </c>
      <c r="P15" s="52" t="str">
        <f t="shared" si="6"/>
        <v>0</v>
      </c>
      <c r="Q15" s="53">
        <f>P15/60</f>
        <v>0</v>
      </c>
      <c r="R15" s="30">
        <f>IF(N15="-",O15-Q15,O15+Q15)</f>
        <v>0</v>
      </c>
      <c r="S15" s="98"/>
      <c r="T15" s="98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</row>
    <row r="16" spans="1:45" x14ac:dyDescent="0.3">
      <c r="A16" s="7">
        <f t="shared" si="2"/>
        <v>28</v>
      </c>
      <c r="B16" s="8">
        <f t="shared" si="9"/>
        <v>46211</v>
      </c>
      <c r="C16" s="9" t="str" cm="1">
        <f t="array" ref="C16">_xlfn.XLOOKUP(E16,Masterdata!$B$31:$B$44,Masterdata!$A$31:$A$44,_xlfn.SWITCH(WEEKDAY($D16, 2), 1, "mandag", 2, "tirsdag", 3, "onsdag", 4, "torsdag", 5, "fredag", 6, "lørdag", 7, "søndag"),0)</f>
        <v>onsdag</v>
      </c>
      <c r="D16" s="29">
        <f t="shared" si="0"/>
        <v>4</v>
      </c>
      <c r="E16" s="70">
        <f t="shared" si="3"/>
        <v>46211</v>
      </c>
      <c r="F16" s="10" t="s">
        <v>23</v>
      </c>
      <c r="G16" s="12">
        <f>IF(OR(AND(F16="N",NOT(OR(C16="mandag",C16="tirsdag",C16="onsdag",C16="torsdag",C16="fredag"))),F16="F"),0,
        IF(OR(
            AND(Masterdata!$B$4&lt;&gt;DATE(1900,1,0), Masterdata!$B$4&lt;$E16),
            AND(Masterdata!$B$3&lt;&gt;DATE(1900,1,0), Masterdata!$B$3&gt;$E16)
        ),
        0, $X$7/(5-H16)))</f>
        <v>0.30833333333333335</v>
      </c>
      <c r="H16" s="86">
        <f>SUMPRODUCT(COUNTIFS(Juni!$A$9:$A$39,$A16,Juni!$D$9:$D$39,"&lt;7",Juni!$F$9:$F$39,"F")+COUNTIFS($A$9:$A$38,$A16,$D$9:$D$38,"&lt;7",$F$9:$F$38,"F")+COUNTIFS(August!$A$9:$A$39,$A16,August!$D$9:$D$39,"&lt;7",August!$F$9:$F$39,"F"))</f>
        <v>0</v>
      </c>
      <c r="I16" s="11">
        <v>0</v>
      </c>
      <c r="J16" s="11">
        <v>0</v>
      </c>
      <c r="K16" s="11">
        <v>0</v>
      </c>
      <c r="L16" s="26" t="str">
        <f>IF($F16="F","00:00",
IF($F16="N",TEXT($G16,"[tt]:mm"),
IF($I16&lt;&gt;0,TEXT($I16,"[tt]:mm"),
IF($K16-$J16&gt;=0,
TEXT($K16-$J16,"[tt]:mm"),
"-"&amp;TEXT(ABS($K16-$J16),"[tt]:mm")))))</f>
        <v>07:24</v>
      </c>
      <c r="M16" s="26" t="str">
        <f>IF(OR(F16="N",F16="F"),"0:00",
IF(
OR(
AND(Masterdata!$B$4&lt;&gt;DATE(1900,1,0),Masterdata!$B$4&lt;$E16),
AND(Masterdata!$B$3&lt;&gt;DATE(1900,1,0),Masterdata!$B$3&gt;$E16)
),"0:00",
IF(
$I16&gt;TIME(0,0,0),
IF(
NOT(OR($C16="mandag",$C16="tirsdag",$C16="onsdag",$C16="torsdag",$C16="fredag")),
TEXT($I16,"[tt]:mm"),
IF($I16-$G16&gt;=0,TEXT($I16-$G16,"[tt]:mm"),"-"&amp;TEXT(ABS($I16-$G16),"[tt]:mm"))
),
IF(
NOT(OR($C16="mandag",$C16="tirsdag",$C16="onsdag",$C16="torsdag",$C16="fredag")),
IF($K16-$J16&gt;=0,TEXT($K16-$J16,"[tt]:mm"),"-"&amp;TEXT(ABS($K16-$J16),"[tt]:mm")),
IF(
$K16-$J16-$G16&gt;=0,
TEXT($K16-$J16-$G16,"[tt]:mm"),
"-"&amp;TEXT(ABS($K16-$J16-$G16),"[tt]:mm")
)
)
)
))</f>
        <v>0:00</v>
      </c>
      <c r="N16" s="71" t="str">
        <f t="shared" si="4"/>
        <v>0</v>
      </c>
      <c r="O16" s="25" t="str">
        <f t="shared" si="5"/>
        <v>0:</v>
      </c>
      <c r="P16" s="52" t="str">
        <f t="shared" si="6"/>
        <v>0</v>
      </c>
      <c r="Q16" s="53">
        <f t="shared" ref="Q16:Q36" si="10">P16/60</f>
        <v>0</v>
      </c>
      <c r="R16" s="30">
        <f t="shared" ref="R16:R20" si="11">IF(N16="-",O16-Q16,O16+Q16)</f>
        <v>0</v>
      </c>
      <c r="S16" s="98"/>
      <c r="T16" s="98"/>
      <c r="U16" s="29" t="s">
        <v>46</v>
      </c>
      <c r="V16" s="29" t="s">
        <v>47</v>
      </c>
      <c r="W16" s="29" t="s">
        <v>48</v>
      </c>
      <c r="X16" s="30">
        <f>X11-X14</f>
        <v>160.33000000000001</v>
      </c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</row>
    <row r="17" spans="1:45" x14ac:dyDescent="0.3">
      <c r="A17" s="7">
        <f t="shared" si="2"/>
        <v>28</v>
      </c>
      <c r="B17" s="8">
        <f t="shared" si="9"/>
        <v>46212</v>
      </c>
      <c r="C17" s="9" t="str" cm="1">
        <f t="array" ref="C17">_xlfn.XLOOKUP(E17,Masterdata!$B$31:$B$44,Masterdata!$A$31:$A$44,_xlfn.SWITCH(WEEKDAY($D17, 2), 1, "mandag", 2, "tirsdag", 3, "onsdag", 4, "torsdag", 5, "fredag", 6, "lørdag", 7, "søndag"),0)</f>
        <v>torsdag</v>
      </c>
      <c r="D17" s="29">
        <f t="shared" si="0"/>
        <v>5</v>
      </c>
      <c r="E17" s="70">
        <f t="shared" si="3"/>
        <v>46212</v>
      </c>
      <c r="F17" s="10" t="s">
        <v>23</v>
      </c>
      <c r="G17" s="12">
        <f>IF(OR(AND(F17="N",NOT(OR(C17="mandag",C17="tirsdag",C17="onsdag",C17="torsdag",C17="fredag"))),F17="F"),0,
        IF(OR(
            AND(Masterdata!$B$4&lt;&gt;DATE(1900,1,0), Masterdata!$B$4&lt;$E17),
            AND(Masterdata!$B$3&lt;&gt;DATE(1900,1,0), Masterdata!$B$3&gt;$E17)
        ),
        0, $X$7/(5-H17)))</f>
        <v>0.30833333333333335</v>
      </c>
      <c r="H17" s="86">
        <f>SUMPRODUCT(COUNTIFS(Juni!$A$9:$A$39,$A17,Juni!$D$9:$D$39,"&lt;7",Juni!$F$9:$F$39,"F")+COUNTIFS($A$9:$A$38,$A17,$D$9:$D$38,"&lt;7",$F$9:$F$38,"F")+COUNTIFS(August!$A$9:$A$39,$A17,August!$D$9:$D$39,"&lt;7",August!$F$9:$F$39,"F"))</f>
        <v>0</v>
      </c>
      <c r="I17" s="11">
        <v>0</v>
      </c>
      <c r="J17" s="11">
        <v>0</v>
      </c>
      <c r="K17" s="11">
        <v>0</v>
      </c>
      <c r="L17" s="26" t="str">
        <f t="shared" ref="L17:L39" si="12">IF($F17="F","00:00",
IF($F17="N",TEXT($G17,"[tt]:mm"),
IF($I17&lt;&gt;0,TEXT($I17,"[tt]:mm"),
IF($K17-$J17&gt;=0,
TEXT($K17-$J17,"[tt]:mm"),
"-"&amp;TEXT(ABS($K17-$J17),"[tt]:mm")))))</f>
        <v>07:24</v>
      </c>
      <c r="M17" s="26" t="str">
        <f>IF(OR(F17="N",F17="F"),"0:00",
IF(
OR(
AND(Masterdata!$B$4&lt;&gt;DATE(1900,1,0),Masterdata!$B$4&lt;$E17),
AND(Masterdata!$B$3&lt;&gt;DATE(1900,1,0),Masterdata!$B$3&gt;$E17)
),"0:00",
IF(
$I17&gt;TIME(0,0,0),
IF(
NOT(OR($C17="mandag",$C17="tirsdag",$C17="onsdag",$C17="torsdag",$C17="fredag")),
TEXT($I17,"[tt]:mm"),
IF($I17-$G17&gt;=0,TEXT($I17-$G17,"[tt]:mm"),"-"&amp;TEXT(ABS($I17-$G17),"[tt]:mm"))
),
IF(
NOT(OR($C17="mandag",$C17="tirsdag",$C17="onsdag",$C17="torsdag",$C17="fredag")),
IF($K17-$J17&gt;=0,TEXT($K17-$J17,"[tt]:mm"),"-"&amp;TEXT(ABS($K17-$J17),"[tt]:mm")),
IF(
$K17-$J17-$G17&gt;=0,
TEXT($K17-$J17-$G17,"[tt]:mm"),
"-"&amp;TEXT(ABS($K17-$J17-$G17),"[tt]:mm")
)
)
)
))</f>
        <v>0:00</v>
      </c>
      <c r="N17" s="71" t="str">
        <f t="shared" si="4"/>
        <v>0</v>
      </c>
      <c r="O17" s="25" t="str">
        <f t="shared" si="5"/>
        <v>0:</v>
      </c>
      <c r="P17" s="52" t="str">
        <f t="shared" si="6"/>
        <v>0</v>
      </c>
      <c r="Q17" s="53">
        <f t="shared" si="10"/>
        <v>0</v>
      </c>
      <c r="R17" s="30">
        <f t="shared" si="11"/>
        <v>0</v>
      </c>
      <c r="S17" s="98"/>
      <c r="T17" s="98"/>
      <c r="U17" s="29" t="s">
        <v>49</v>
      </c>
      <c r="V17" s="29" t="s">
        <v>50</v>
      </c>
      <c r="W17" s="29" t="s">
        <v>51</v>
      </c>
      <c r="X17" s="30" t="e">
        <f>SUM(#REF!)</f>
        <v>#REF!</v>
      </c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</row>
    <row r="18" spans="1:45" x14ac:dyDescent="0.3">
      <c r="A18" s="7">
        <f t="shared" si="2"/>
        <v>28</v>
      </c>
      <c r="B18" s="8">
        <f t="shared" si="9"/>
        <v>46213</v>
      </c>
      <c r="C18" s="9" t="str" cm="1">
        <f t="array" ref="C18">_xlfn.XLOOKUP(E18,Masterdata!$B$31:$B$44,Masterdata!$A$31:$A$44,_xlfn.SWITCH(WEEKDAY($D18, 2), 1, "mandag", 2, "tirsdag", 3, "onsdag", 4, "torsdag", 5, "fredag", 6, "lørdag", 7, "søndag"),0)</f>
        <v>fredag</v>
      </c>
      <c r="D18" s="29">
        <f t="shared" si="0"/>
        <v>6</v>
      </c>
      <c r="E18" s="70">
        <f t="shared" si="3"/>
        <v>46213</v>
      </c>
      <c r="F18" s="10" t="s">
        <v>23</v>
      </c>
      <c r="G18" s="12">
        <f>IF(OR(AND(F18="N",NOT(OR(C18="mandag",C18="tirsdag",C18="onsdag",C18="torsdag",C18="fredag"))),F18="F"),0,
        IF(OR(
            AND(Masterdata!$B$4&lt;&gt;DATE(1900,1,0), Masterdata!$B$4&lt;$E18),
            AND(Masterdata!$B$3&lt;&gt;DATE(1900,1,0), Masterdata!$B$3&gt;$E18)
        ),
        0, $X$7/(5-H18)))</f>
        <v>0.30833333333333335</v>
      </c>
      <c r="H18" s="86">
        <f>SUMPRODUCT(COUNTIFS(Juni!$A$9:$A$39,$A18,Juni!$D$9:$D$39,"&lt;7",Juni!$F$9:$F$39,"F")+COUNTIFS($A$9:$A$38,$A18,$D$9:$D$38,"&lt;7",$F$9:$F$38,"F")+COUNTIFS(August!$A$9:$A$39,$A18,August!$D$9:$D$39,"&lt;7",August!$F$9:$F$39,"F"))</f>
        <v>0</v>
      </c>
      <c r="I18" s="11">
        <v>0</v>
      </c>
      <c r="J18" s="11">
        <v>0</v>
      </c>
      <c r="K18" s="11">
        <v>0</v>
      </c>
      <c r="L18" s="26" t="str">
        <f t="shared" si="12"/>
        <v>07:24</v>
      </c>
      <c r="M18" s="26" t="str">
        <f>IF(OR(F18="N",F18="F"),"0:00",
IF(
OR(
AND(Masterdata!$B$4&lt;&gt;DATE(1900,1,0),Masterdata!$B$4&lt;$E18),
AND(Masterdata!$B$3&lt;&gt;DATE(1900,1,0),Masterdata!$B$3&gt;$E18)
),"0:00",
IF(
$I18&gt;TIME(0,0,0),
IF(
NOT(OR($C18="mandag",$C18="tirsdag",$C18="onsdag",$C18="torsdag",$C18="fredag")),
TEXT($I18,"[tt]:mm"),
IF($I18-$G18&gt;=0,TEXT($I18-$G18,"[tt]:mm"),"-"&amp;TEXT(ABS($I18-$G18),"[tt]:mm"))
),
IF(
NOT(OR($C18="mandag",$C18="tirsdag",$C18="onsdag",$C18="torsdag",$C18="fredag")),
IF($K18-$J18&gt;=0,TEXT($K18-$J18,"[tt]:mm"),"-"&amp;TEXT(ABS($K18-$J18),"[tt]:mm")),
IF(
$K18-$J18-$G18&gt;=0,
TEXT($K18-$J18-$G18,"[tt]:mm"),
"-"&amp;TEXT(ABS($K18-$J18-$G18),"[tt]:mm")
)
)
)
))</f>
        <v>0:00</v>
      </c>
      <c r="N18" s="71" t="str">
        <f t="shared" si="4"/>
        <v>0</v>
      </c>
      <c r="O18" s="25" t="str">
        <f t="shared" si="5"/>
        <v>0:</v>
      </c>
      <c r="P18" s="52" t="str">
        <f t="shared" si="6"/>
        <v>0</v>
      </c>
      <c r="Q18" s="53">
        <f t="shared" si="10"/>
        <v>0</v>
      </c>
      <c r="R18" s="30">
        <f t="shared" si="11"/>
        <v>0</v>
      </c>
      <c r="S18" s="98"/>
      <c r="T18" s="98"/>
      <c r="U18" s="29" t="s">
        <v>25</v>
      </c>
      <c r="V18" s="29" t="s">
        <v>52</v>
      </c>
      <c r="W18" s="29" t="s">
        <v>53</v>
      </c>
      <c r="X18" s="30" t="e">
        <f>X16-X17</f>
        <v>#REF!</v>
      </c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</row>
    <row r="19" spans="1:45" x14ac:dyDescent="0.3">
      <c r="A19" s="7">
        <f t="shared" si="2"/>
        <v>28</v>
      </c>
      <c r="B19" s="8">
        <f t="shared" si="9"/>
        <v>46214</v>
      </c>
      <c r="C19" s="9" t="str" cm="1">
        <f t="array" ref="C19">_xlfn.XLOOKUP(E19,Masterdata!$B$31:$B$44,Masterdata!$A$31:$A$44,_xlfn.SWITCH(WEEKDAY($D19, 2), 1, "mandag", 2, "tirsdag", 3, "onsdag", 4, "torsdag", 5, "fredag", 6, "lørdag", 7, "søndag"),0)</f>
        <v>lørdag</v>
      </c>
      <c r="D19" s="29">
        <f t="shared" si="0"/>
        <v>7</v>
      </c>
      <c r="E19" s="70">
        <f t="shared" si="3"/>
        <v>46214</v>
      </c>
      <c r="F19" s="10" t="s">
        <v>23</v>
      </c>
      <c r="G19" s="12">
        <f>IF(OR(AND(F19="N",NOT(OR(C19="mandag",C19="tirsdag",C19="onsdag",C19="torsdag",C19="fredag"))),F19="F"),0,
        IF(OR(
            AND(Masterdata!$B$4&lt;&gt;DATE(1900,1,0), Masterdata!$B$4&lt;$E19),
            AND(Masterdata!$B$3&lt;&gt;DATE(1900,1,0), Masterdata!$B$3&gt;$E19)
        ),
        0, $X$7/(5-H19)))</f>
        <v>0</v>
      </c>
      <c r="H19" s="86">
        <f>SUMPRODUCT(COUNTIFS(Juni!$A$9:$A$39,$A19,Juni!$D$9:$D$39,"&lt;7",Juni!$F$9:$F$39,"F")+COUNTIFS($A$9:$A$38,$A19,$D$9:$D$38,"&lt;7",$F$9:$F$38,"F")+COUNTIFS(August!$A$9:$A$39,$A19,August!$D$9:$D$39,"&lt;7",August!$F$9:$F$39,"F"))</f>
        <v>0</v>
      </c>
      <c r="I19" s="11">
        <v>0</v>
      </c>
      <c r="J19" s="11">
        <v>0</v>
      </c>
      <c r="K19" s="11">
        <v>0</v>
      </c>
      <c r="L19" s="26" t="str">
        <f t="shared" si="12"/>
        <v>00:00</v>
      </c>
      <c r="M19" s="26" t="str">
        <f>IF(OR(F19="N",F19="F"),"0:00",
IF(
OR(
AND(Masterdata!$B$4&lt;&gt;DATE(1900,1,0),Masterdata!$B$4&lt;$E19),
AND(Masterdata!$B$3&lt;&gt;DATE(1900,1,0),Masterdata!$B$3&gt;$E19)
),"0:00",
IF(
$I19&gt;TIME(0,0,0),
IF(
NOT(OR($C19="mandag",$C19="tirsdag",$C19="onsdag",$C19="torsdag",$C19="fredag")),
TEXT($I19,"[tt]:mm"),
IF($I19-$G19&gt;=0,TEXT($I19-$G19,"[tt]:mm"),"-"&amp;TEXT(ABS($I19-$G19),"[tt]:mm"))
),
IF(
NOT(OR($C19="mandag",$C19="tirsdag",$C19="onsdag",$C19="torsdag",$C19="fredag")),
IF($K19-$J19&gt;=0,TEXT($K19-$J19,"[tt]:mm"),"-"&amp;TEXT(ABS($K19-$J19),"[tt]:mm")),
IF(
$K19-$J19-$G19&gt;=0,
TEXT($K19-$J19-$G19,"[tt]:mm"),
"-"&amp;TEXT(ABS($K19-$J19-$G19),"[tt]:mm")
)
)
)
))</f>
        <v>0:00</v>
      </c>
      <c r="N19" s="71" t="str">
        <f t="shared" si="4"/>
        <v>0</v>
      </c>
      <c r="O19" s="25" t="str">
        <f t="shared" si="5"/>
        <v>0:</v>
      </c>
      <c r="P19" s="52" t="str">
        <f t="shared" si="6"/>
        <v>0</v>
      </c>
      <c r="Q19" s="53">
        <f t="shared" si="10"/>
        <v>0</v>
      </c>
      <c r="R19" s="30">
        <f t="shared" si="11"/>
        <v>0</v>
      </c>
      <c r="S19" s="98"/>
      <c r="T19" s="98"/>
      <c r="U19" s="29"/>
      <c r="V19" s="29"/>
      <c r="W19" s="70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</row>
    <row r="20" spans="1:45" x14ac:dyDescent="0.3">
      <c r="A20" s="7">
        <f t="shared" si="2"/>
        <v>28</v>
      </c>
      <c r="B20" s="8">
        <f t="shared" si="9"/>
        <v>46215</v>
      </c>
      <c r="C20" s="9" t="str" cm="1">
        <f t="array" ref="C20">_xlfn.XLOOKUP(E20,Masterdata!$B$31:$B$44,Masterdata!$A$31:$A$44,_xlfn.SWITCH(WEEKDAY($D20, 2), 1, "mandag", 2, "tirsdag", 3, "onsdag", 4, "torsdag", 5, "fredag", 6, "lørdag", 7, "søndag"),0)</f>
        <v>søndag</v>
      </c>
      <c r="D20" s="29">
        <f t="shared" si="0"/>
        <v>8</v>
      </c>
      <c r="E20" s="70">
        <f t="shared" si="3"/>
        <v>46215</v>
      </c>
      <c r="F20" s="10" t="s">
        <v>23</v>
      </c>
      <c r="G20" s="12">
        <f>IF(OR(AND(F20="N",NOT(OR(C20="mandag",C20="tirsdag",C20="onsdag",C20="torsdag",C20="fredag"))),F20="F"),0,
        IF(OR(
            AND(Masterdata!$B$4&lt;&gt;DATE(1900,1,0), Masterdata!$B$4&lt;$E20),
            AND(Masterdata!$B$3&lt;&gt;DATE(1900,1,0), Masterdata!$B$3&gt;$E20)
        ),
        0, $X$7/(5-H20)))</f>
        <v>0</v>
      </c>
      <c r="H20" s="86">
        <f>SUMPRODUCT(COUNTIFS(Juni!$A$9:$A$39,$A20,Juni!$D$9:$D$39,"&lt;7",Juni!$F$9:$F$39,"F")+COUNTIFS($A$9:$A$38,$A20,$D$9:$D$38,"&lt;7",$F$9:$F$38,"F")+COUNTIFS(August!$A$9:$A$39,$A20,August!$D$9:$D$39,"&lt;7",August!$F$9:$F$39,"F"))</f>
        <v>0</v>
      </c>
      <c r="I20" s="11">
        <v>0</v>
      </c>
      <c r="J20" s="11">
        <v>0</v>
      </c>
      <c r="K20" s="11">
        <v>0</v>
      </c>
      <c r="L20" s="26" t="str">
        <f t="shared" si="12"/>
        <v>00:00</v>
      </c>
      <c r="M20" s="26" t="str">
        <f>IF(OR(F20="N",F20="F"),"0:00",
IF(
OR(
AND(Masterdata!$B$4&lt;&gt;DATE(1900,1,0),Masterdata!$B$4&lt;$E20),
AND(Masterdata!$B$3&lt;&gt;DATE(1900,1,0),Masterdata!$B$3&gt;$E20)
),"0:00",
IF(
$I20&gt;TIME(0,0,0),
IF(
NOT(OR($C20="mandag",$C20="tirsdag",$C20="onsdag",$C20="torsdag",$C20="fredag")),
TEXT($I20,"[tt]:mm"),
IF($I20-$G20&gt;=0,TEXT($I20-$G20,"[tt]:mm"),"-"&amp;TEXT(ABS($I20-$G20),"[tt]:mm"))
),
IF(
NOT(OR($C20="mandag",$C20="tirsdag",$C20="onsdag",$C20="torsdag",$C20="fredag")),
IF($K20-$J20&gt;=0,TEXT($K20-$J20,"[tt]:mm"),"-"&amp;TEXT(ABS($K20-$J20),"[tt]:mm")),
IF(
$K20-$J20-$G20&gt;=0,
TEXT($K20-$J20-$G20,"[tt]:mm"),
"-"&amp;TEXT(ABS($K20-$J20-$G20),"[tt]:mm")
)
)
)
))</f>
        <v>0:00</v>
      </c>
      <c r="N20" s="71" t="str">
        <f t="shared" si="4"/>
        <v>0</v>
      </c>
      <c r="O20" s="25" t="str">
        <f t="shared" si="5"/>
        <v>0:</v>
      </c>
      <c r="P20" s="52" t="str">
        <f t="shared" si="6"/>
        <v>0</v>
      </c>
      <c r="Q20" s="53">
        <f t="shared" si="10"/>
        <v>0</v>
      </c>
      <c r="R20" s="30">
        <f t="shared" si="11"/>
        <v>0</v>
      </c>
      <c r="S20" s="98"/>
      <c r="T20" s="98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</row>
    <row r="21" spans="1:45" x14ac:dyDescent="0.3">
      <c r="A21" s="7">
        <f t="shared" si="2"/>
        <v>29</v>
      </c>
      <c r="B21" s="8">
        <f t="shared" si="9"/>
        <v>46216</v>
      </c>
      <c r="C21" s="9" t="str" cm="1">
        <f t="array" ref="C21">_xlfn.XLOOKUP(E21,Masterdata!$B$31:$B$44,Masterdata!$A$31:$A$44,_xlfn.SWITCH(WEEKDAY($D21, 2), 1, "mandag", 2, "tirsdag", 3, "onsdag", 4, "torsdag", 5, "fredag", 6, "lørdag", 7, "søndag"),0)</f>
        <v>mandag</v>
      </c>
      <c r="D21" s="29">
        <f t="shared" si="0"/>
        <v>2</v>
      </c>
      <c r="E21" s="70">
        <f t="shared" si="3"/>
        <v>46216</v>
      </c>
      <c r="F21" s="10" t="s">
        <v>23</v>
      </c>
      <c r="G21" s="12">
        <f>IF(OR(AND(F21="N",NOT(OR(C21="mandag",C21="tirsdag",C21="onsdag",C21="torsdag",C21="fredag"))),F21="F"),0,
        IF(OR(
            AND(Masterdata!$B$4&lt;&gt;DATE(1900,1,0), Masterdata!$B$4&lt;$E21),
            AND(Masterdata!$B$3&lt;&gt;DATE(1900,1,0), Masterdata!$B$3&gt;$E21)
        ),
        0, $X$7/(5-H21)))</f>
        <v>0.30833333333333335</v>
      </c>
      <c r="H21" s="86">
        <f>SUMPRODUCT(COUNTIFS(Juni!$A$9:$A$39,$A21,Juni!$D$9:$D$39,"&lt;7",Juni!$F$9:$F$39,"F")+COUNTIFS($A$9:$A$38,$A21,$D$9:$D$38,"&lt;7",$F$9:$F$38,"F")+COUNTIFS(August!$A$9:$A$39,$A21,August!$D$9:$D$39,"&lt;7",August!$F$9:$F$39,"F"))</f>
        <v>0</v>
      </c>
      <c r="I21" s="11">
        <v>0</v>
      </c>
      <c r="J21" s="11">
        <v>0</v>
      </c>
      <c r="K21" s="11">
        <v>0</v>
      </c>
      <c r="L21" s="26" t="str">
        <f t="shared" si="12"/>
        <v>07:24</v>
      </c>
      <c r="M21" s="26" t="str">
        <f>IF(OR(F21="N",F21="F"),"0:00",
IF(
OR(
AND(Masterdata!$B$4&lt;&gt;DATE(1900,1,0),Masterdata!$B$4&lt;$E21),
AND(Masterdata!$B$3&lt;&gt;DATE(1900,1,0),Masterdata!$B$3&gt;$E21)
),"0:00",
IF(
$I21&gt;TIME(0,0,0),
IF(
NOT(OR($C21="mandag",$C21="tirsdag",$C21="onsdag",$C21="torsdag",$C21="fredag")),
TEXT($I21,"[tt]:mm"),
IF($I21-$G21&gt;=0,TEXT($I21-$G21,"[tt]:mm"),"-"&amp;TEXT(ABS($I21-$G21),"[tt]:mm"))
),
IF(
NOT(OR($C21="mandag",$C21="tirsdag",$C21="onsdag",$C21="torsdag",$C21="fredag")),
IF($K21-$J21&gt;=0,TEXT($K21-$J21,"[tt]:mm"),"-"&amp;TEXT(ABS($K21-$J21),"[tt]:mm")),
IF(
$K21-$J21-$G21&gt;=0,
TEXT($K21-$J21-$G21,"[tt]:mm"),
"-"&amp;TEXT(ABS($K21-$J21-$G21),"[tt]:mm")
)
)
)
))</f>
        <v>0:00</v>
      </c>
      <c r="N21" s="71" t="str">
        <f>LEFT(M21,1)</f>
        <v>0</v>
      </c>
      <c r="O21" s="25" t="str">
        <f t="shared" si="5"/>
        <v>0:</v>
      </c>
      <c r="P21" s="52" t="str">
        <f t="shared" si="6"/>
        <v>0</v>
      </c>
      <c r="Q21" s="53">
        <f t="shared" si="10"/>
        <v>0</v>
      </c>
      <c r="R21" s="30">
        <f>IF(N21="-",O21-Q21,O21+Q21)</f>
        <v>0</v>
      </c>
      <c r="S21" s="98"/>
      <c r="T21" s="98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</row>
    <row r="22" spans="1:45" x14ac:dyDescent="0.3">
      <c r="A22" s="7">
        <f t="shared" si="2"/>
        <v>29</v>
      </c>
      <c r="B22" s="8">
        <f t="shared" si="9"/>
        <v>46217</v>
      </c>
      <c r="C22" s="9" t="str" cm="1">
        <f t="array" ref="C22">_xlfn.XLOOKUP(E22,Masterdata!$B$31:$B$44,Masterdata!$A$31:$A$44,_xlfn.SWITCH(WEEKDAY($D22, 2), 1, "mandag", 2, "tirsdag", 3, "onsdag", 4, "torsdag", 5, "fredag", 6, "lørdag", 7, "søndag"),0)</f>
        <v>tirsdag</v>
      </c>
      <c r="D22" s="29">
        <f t="shared" si="0"/>
        <v>3</v>
      </c>
      <c r="E22" s="70">
        <f t="shared" si="3"/>
        <v>46217</v>
      </c>
      <c r="F22" s="10" t="s">
        <v>23</v>
      </c>
      <c r="G22" s="12">
        <f>IF(OR(AND(F22="N",NOT(OR(C22="mandag",C22="tirsdag",C22="onsdag",C22="torsdag",C22="fredag"))),F22="F"),0,
        IF(OR(
            AND(Masterdata!$B$4&lt;&gt;DATE(1900,1,0), Masterdata!$B$4&lt;$E22),
            AND(Masterdata!$B$3&lt;&gt;DATE(1900,1,0), Masterdata!$B$3&gt;$E22)
        ),
        0, $X$7/(5-H22)))</f>
        <v>0.30833333333333335</v>
      </c>
      <c r="H22" s="86">
        <f>SUMPRODUCT(COUNTIFS(Juni!$A$9:$A$39,$A22,Juni!$D$9:$D$39,"&lt;7",Juni!$F$9:$F$39,"F")+COUNTIFS($A$9:$A$38,$A22,$D$9:$D$38,"&lt;7",$F$9:$F$38,"F")+COUNTIFS(August!$A$9:$A$39,$A22,August!$D$9:$D$39,"&lt;7",August!$F$9:$F$39,"F"))</f>
        <v>0</v>
      </c>
      <c r="I22" s="11">
        <v>0</v>
      </c>
      <c r="J22" s="11">
        <v>0</v>
      </c>
      <c r="K22" s="11">
        <v>0</v>
      </c>
      <c r="L22" s="26" t="str">
        <f t="shared" si="12"/>
        <v>07:24</v>
      </c>
      <c r="M22" s="26" t="str">
        <f>IF(OR(F22="N",F22="F"),"0:00",
IF(
OR(
AND(Masterdata!$B$4&lt;&gt;DATE(1900,1,0),Masterdata!$B$4&lt;$E22),
AND(Masterdata!$B$3&lt;&gt;DATE(1900,1,0),Masterdata!$B$3&gt;$E22)
),"0:00",
IF(
$I22&gt;TIME(0,0,0),
IF(
NOT(OR($C22="mandag",$C22="tirsdag",$C22="onsdag",$C22="torsdag",$C22="fredag")),
TEXT($I22,"[tt]:mm"),
IF($I22-$G22&gt;=0,TEXT($I22-$G22,"[tt]:mm"),"-"&amp;TEXT(ABS($I22-$G22),"[tt]:mm"))
),
IF(
NOT(OR($C22="mandag",$C22="tirsdag",$C22="onsdag",$C22="torsdag",$C22="fredag")),
IF($K22-$J22&gt;=0,TEXT($K22-$J22,"[tt]:mm"),"-"&amp;TEXT(ABS($K22-$J22),"[tt]:mm")),
IF(
$K22-$J22-$G22&gt;=0,
TEXT($K22-$J22-$G22,"[tt]:mm"),
"-"&amp;TEXT(ABS($K22-$J22-$G22),"[tt]:mm")
)
)
)
))</f>
        <v>0:00</v>
      </c>
      <c r="N22" s="71" t="str">
        <f t="shared" ref="N22:N36" si="13">LEFT(M22,1)</f>
        <v>0</v>
      </c>
      <c r="O22" s="25" t="str">
        <f t="shared" si="5"/>
        <v>0:</v>
      </c>
      <c r="P22" s="52" t="str">
        <f t="shared" si="6"/>
        <v>0</v>
      </c>
      <c r="Q22" s="53">
        <f t="shared" si="10"/>
        <v>0</v>
      </c>
      <c r="R22" s="30">
        <f t="shared" ref="R22:R36" si="14">IF(N22="-",O22-Q22,O22+Q22)</f>
        <v>0</v>
      </c>
      <c r="S22" s="98"/>
      <c r="T22" s="98"/>
      <c r="U22" s="29"/>
      <c r="V22" s="29"/>
      <c r="W22" s="29" t="s">
        <v>124</v>
      </c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</row>
    <row r="23" spans="1:45" x14ac:dyDescent="0.3">
      <c r="A23" s="7">
        <f t="shared" si="2"/>
        <v>29</v>
      </c>
      <c r="B23" s="8">
        <f t="shared" si="9"/>
        <v>46218</v>
      </c>
      <c r="C23" s="9" t="str" cm="1">
        <f t="array" ref="C23">_xlfn.XLOOKUP(E23,Masterdata!$B$31:$B$44,Masterdata!$A$31:$A$44,_xlfn.SWITCH(WEEKDAY($D23, 2), 1, "mandag", 2, "tirsdag", 3, "onsdag", 4, "torsdag", 5, "fredag", 6, "lørdag", 7, "søndag"),0)</f>
        <v>onsdag</v>
      </c>
      <c r="D23" s="29">
        <f t="shared" si="0"/>
        <v>4</v>
      </c>
      <c r="E23" s="70">
        <f t="shared" si="3"/>
        <v>46218</v>
      </c>
      <c r="F23" s="10" t="s">
        <v>23</v>
      </c>
      <c r="G23" s="12">
        <f>IF(OR(AND(F23="N",NOT(OR(C23="mandag",C23="tirsdag",C23="onsdag",C23="torsdag",C23="fredag"))),F23="F"),0,
        IF(OR(
            AND(Masterdata!$B$4&lt;&gt;DATE(1900,1,0), Masterdata!$B$4&lt;$E23),
            AND(Masterdata!$B$3&lt;&gt;DATE(1900,1,0), Masterdata!$B$3&gt;$E23)
        ),
        0, $X$7/(5-H23)))</f>
        <v>0.30833333333333335</v>
      </c>
      <c r="H23" s="86">
        <f>SUMPRODUCT(COUNTIFS(Juni!$A$9:$A$39,$A23,Juni!$D$9:$D$39,"&lt;7",Juni!$F$9:$F$39,"F")+COUNTIFS($A$9:$A$38,$A23,$D$9:$D$38,"&lt;7",$F$9:$F$38,"F")+COUNTIFS(August!$A$9:$A$39,$A23,August!$D$9:$D$39,"&lt;7",August!$F$9:$F$39,"F"))</f>
        <v>0</v>
      </c>
      <c r="I23" s="11">
        <v>0</v>
      </c>
      <c r="J23" s="11">
        <v>0</v>
      </c>
      <c r="K23" s="11">
        <v>0</v>
      </c>
      <c r="L23" s="26" t="str">
        <f t="shared" si="12"/>
        <v>07:24</v>
      </c>
      <c r="M23" s="26" t="str">
        <f>IF(OR(F23="N",F23="F"),"0:00",
IF(
OR(
AND(Masterdata!$B$4&lt;&gt;DATE(1900,1,0),Masterdata!$B$4&lt;$E23),
AND(Masterdata!$B$3&lt;&gt;DATE(1900,1,0),Masterdata!$B$3&gt;$E23)
),"0:00",
IF(
$I23&gt;TIME(0,0,0),
IF(
NOT(OR($C23="mandag",$C23="tirsdag",$C23="onsdag",$C23="torsdag",$C23="fredag")),
TEXT($I23,"[tt]:mm"),
IF($I23-$G23&gt;=0,TEXT($I23-$G23,"[tt]:mm"),"-"&amp;TEXT(ABS($I23-$G23),"[tt]:mm"))
),
IF(
NOT(OR($C23="mandag",$C23="tirsdag",$C23="onsdag",$C23="torsdag",$C23="fredag")),
IF($K23-$J23&gt;=0,TEXT($K23-$J23,"[tt]:mm"),"-"&amp;TEXT(ABS($K23-$J23),"[tt]:mm")),
IF(
$K23-$J23-$G23&gt;=0,
TEXT($K23-$J23-$G23,"[tt]:mm"),
"-"&amp;TEXT(ABS($K23-$J23-$G23),"[tt]:mm")
)
)
)
))</f>
        <v>0:00</v>
      </c>
      <c r="N23" s="71" t="str">
        <f t="shared" si="13"/>
        <v>0</v>
      </c>
      <c r="O23" s="25" t="str">
        <f t="shared" si="5"/>
        <v>0:</v>
      </c>
      <c r="P23" s="52" t="str">
        <f t="shared" si="6"/>
        <v>0</v>
      </c>
      <c r="Q23" s="53">
        <f t="shared" si="10"/>
        <v>0</v>
      </c>
      <c r="R23" s="30">
        <f t="shared" si="14"/>
        <v>0</v>
      </c>
      <c r="S23" s="98"/>
      <c r="T23" s="98"/>
      <c r="U23" s="29"/>
      <c r="V23" s="29"/>
      <c r="W23" s="29" t="s">
        <v>125</v>
      </c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</row>
    <row r="24" spans="1:45" x14ac:dyDescent="0.3">
      <c r="A24" s="7">
        <f t="shared" si="2"/>
        <v>29</v>
      </c>
      <c r="B24" s="8">
        <f t="shared" si="9"/>
        <v>46219</v>
      </c>
      <c r="C24" s="9" t="str" cm="1">
        <f t="array" ref="C24">_xlfn.XLOOKUP(E24,Masterdata!$B$31:$B$44,Masterdata!$A$31:$A$44,_xlfn.SWITCH(WEEKDAY($D24, 2), 1, "mandag", 2, "tirsdag", 3, "onsdag", 4, "torsdag", 5, "fredag", 6, "lørdag", 7, "søndag"),0)</f>
        <v>torsdag</v>
      </c>
      <c r="D24" s="29">
        <f t="shared" si="0"/>
        <v>5</v>
      </c>
      <c r="E24" s="70">
        <f t="shared" si="3"/>
        <v>46219</v>
      </c>
      <c r="F24" s="10" t="s">
        <v>23</v>
      </c>
      <c r="G24" s="12">
        <f>IF(OR(AND(F24="N",NOT(OR(C24="mandag",C24="tirsdag",C24="onsdag",C24="torsdag",C24="fredag"))),F24="F"),0,
        IF(OR(
            AND(Masterdata!$B$4&lt;&gt;DATE(1900,1,0), Masterdata!$B$4&lt;$E24),
            AND(Masterdata!$B$3&lt;&gt;DATE(1900,1,0), Masterdata!$B$3&gt;$E24)
        ),
        0, $X$7/(5-H24)))</f>
        <v>0.30833333333333335</v>
      </c>
      <c r="H24" s="86">
        <f>SUMPRODUCT(COUNTIFS(Juni!$A$9:$A$39,$A24,Juni!$D$9:$D$39,"&lt;7",Juni!$F$9:$F$39,"F")+COUNTIFS($A$9:$A$38,$A24,$D$9:$D$38,"&lt;7",$F$9:$F$38,"F")+COUNTIFS(August!$A$9:$A$39,$A24,August!$D$9:$D$39,"&lt;7",August!$F$9:$F$39,"F"))</f>
        <v>0</v>
      </c>
      <c r="I24" s="11">
        <v>0</v>
      </c>
      <c r="J24" s="11">
        <v>0</v>
      </c>
      <c r="K24" s="11">
        <v>0</v>
      </c>
      <c r="L24" s="26" t="str">
        <f t="shared" si="12"/>
        <v>07:24</v>
      </c>
      <c r="M24" s="26" t="str">
        <f>IF(OR(F24="N",F24="F"),"0:00",
IF(
OR(
AND(Masterdata!$B$4&lt;&gt;DATE(1900,1,0),Masterdata!$B$4&lt;$E24),
AND(Masterdata!$B$3&lt;&gt;DATE(1900,1,0),Masterdata!$B$3&gt;$E24)
),"0:00",
IF(
$I24&gt;TIME(0,0,0),
IF(
NOT(OR($C24="mandag",$C24="tirsdag",$C24="onsdag",$C24="torsdag",$C24="fredag")),
TEXT($I24,"[tt]:mm"),
IF($I24-$G24&gt;=0,TEXT($I24-$G24,"[tt]:mm"),"-"&amp;TEXT(ABS($I24-$G24),"[tt]:mm"))
),
IF(
NOT(OR($C24="mandag",$C24="tirsdag",$C24="onsdag",$C24="torsdag",$C24="fredag")),
IF($K24-$J24&gt;=0,TEXT($K24-$J24,"[tt]:mm"),"-"&amp;TEXT(ABS($K24-$J24),"[tt]:mm")),
IF(
$K24-$J24-$G24&gt;=0,
TEXT($K24-$J24-$G24,"[tt]:mm"),
"-"&amp;TEXT(ABS($K24-$J24-$G24),"[tt]:mm")
)
)
)
))</f>
        <v>0:00</v>
      </c>
      <c r="N24" s="71" t="str">
        <f t="shared" si="13"/>
        <v>0</v>
      </c>
      <c r="O24" s="25" t="str">
        <f t="shared" si="5"/>
        <v>0:</v>
      </c>
      <c r="P24" s="52" t="str">
        <f t="shared" si="6"/>
        <v>0</v>
      </c>
      <c r="Q24" s="53">
        <f t="shared" si="10"/>
        <v>0</v>
      </c>
      <c r="R24" s="30">
        <f t="shared" si="14"/>
        <v>0</v>
      </c>
      <c r="S24" s="98"/>
      <c r="T24" s="98"/>
      <c r="U24" s="29"/>
      <c r="V24" s="29"/>
      <c r="W24" s="29" t="s">
        <v>126</v>
      </c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</row>
    <row r="25" spans="1:45" x14ac:dyDescent="0.3">
      <c r="A25" s="7">
        <f t="shared" si="2"/>
        <v>29</v>
      </c>
      <c r="B25" s="8">
        <f t="shared" si="9"/>
        <v>46220</v>
      </c>
      <c r="C25" s="9" t="str" cm="1">
        <f t="array" ref="C25">_xlfn.XLOOKUP(E25,Masterdata!$B$31:$B$44,Masterdata!$A$31:$A$44,_xlfn.SWITCH(WEEKDAY($D25, 2), 1, "mandag", 2, "tirsdag", 3, "onsdag", 4, "torsdag", 5, "fredag", 6, "lørdag", 7, "søndag"),0)</f>
        <v>fredag</v>
      </c>
      <c r="D25" s="29">
        <f t="shared" si="0"/>
        <v>6</v>
      </c>
      <c r="E25" s="70">
        <f t="shared" si="3"/>
        <v>46220</v>
      </c>
      <c r="F25" s="10" t="s">
        <v>23</v>
      </c>
      <c r="G25" s="12">
        <f>IF(OR(AND(F25="N",NOT(OR(C25="mandag",C25="tirsdag",C25="onsdag",C25="torsdag",C25="fredag"))),F25="F"),0,
        IF(OR(
            AND(Masterdata!$B$4&lt;&gt;DATE(1900,1,0), Masterdata!$B$4&lt;$E25),
            AND(Masterdata!$B$3&lt;&gt;DATE(1900,1,0), Masterdata!$B$3&gt;$E25)
        ),
        0, $X$7/(5-H25)))</f>
        <v>0.30833333333333335</v>
      </c>
      <c r="H25" s="86">
        <f>SUMPRODUCT(COUNTIFS(Juni!$A$9:$A$39,$A25,Juni!$D$9:$D$39,"&lt;7",Juni!$F$9:$F$39,"F")+COUNTIFS($A$9:$A$38,$A25,$D$9:$D$38,"&lt;7",$F$9:$F$38,"F")+COUNTIFS(August!$A$9:$A$39,$A25,August!$D$9:$D$39,"&lt;7",August!$F$9:$F$39,"F"))</f>
        <v>0</v>
      </c>
      <c r="I25" s="11">
        <v>0</v>
      </c>
      <c r="J25" s="11">
        <v>0</v>
      </c>
      <c r="K25" s="11">
        <v>0</v>
      </c>
      <c r="L25" s="26" t="str">
        <f t="shared" si="12"/>
        <v>07:24</v>
      </c>
      <c r="M25" s="26" t="str">
        <f>IF(OR(F25="N",F25="F"),"0:00",
IF(
OR(
AND(Masterdata!$B$4&lt;&gt;DATE(1900,1,0),Masterdata!$B$4&lt;$E25),
AND(Masterdata!$B$3&lt;&gt;DATE(1900,1,0),Masterdata!$B$3&gt;$E25)
),"0:00",
IF(
$I25&gt;TIME(0,0,0),
IF(
NOT(OR($C25="mandag",$C25="tirsdag",$C25="onsdag",$C25="torsdag",$C25="fredag")),
TEXT($I25,"[tt]:mm"),
IF($I25-$G25&gt;=0,TEXT($I25-$G25,"[tt]:mm"),"-"&amp;TEXT(ABS($I25-$G25),"[tt]:mm"))
),
IF(
NOT(OR($C25="mandag",$C25="tirsdag",$C25="onsdag",$C25="torsdag",$C25="fredag")),
IF($K25-$J25&gt;=0,TEXT($K25-$J25,"[tt]:mm"),"-"&amp;TEXT(ABS($K25-$J25),"[tt]:mm")),
IF(
$K25-$J25-$G25&gt;=0,
TEXT($K25-$J25-$G25,"[tt]:mm"),
"-"&amp;TEXT(ABS($K25-$J25-$G25),"[tt]:mm")
)
)
)
))</f>
        <v>0:00</v>
      </c>
      <c r="N25" s="71" t="str">
        <f t="shared" si="13"/>
        <v>0</v>
      </c>
      <c r="O25" s="25" t="str">
        <f t="shared" si="5"/>
        <v>0:</v>
      </c>
      <c r="P25" s="52" t="str">
        <f t="shared" si="6"/>
        <v>0</v>
      </c>
      <c r="Q25" s="53">
        <f t="shared" si="10"/>
        <v>0</v>
      </c>
      <c r="R25" s="30">
        <f t="shared" si="14"/>
        <v>0</v>
      </c>
      <c r="S25" s="98"/>
      <c r="T25" s="98"/>
      <c r="U25" s="29"/>
      <c r="V25" s="29"/>
      <c r="W25" s="29" t="s">
        <v>127</v>
      </c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</row>
    <row r="26" spans="1:45" x14ac:dyDescent="0.3">
      <c r="A26" s="7">
        <f t="shared" si="2"/>
        <v>29</v>
      </c>
      <c r="B26" s="8">
        <f t="shared" si="9"/>
        <v>46221</v>
      </c>
      <c r="C26" s="9" t="str" cm="1">
        <f t="array" ref="C26">_xlfn.XLOOKUP(E26,Masterdata!$B$31:$B$44,Masterdata!$A$31:$A$44,_xlfn.SWITCH(WEEKDAY($D26, 2), 1, "mandag", 2, "tirsdag", 3, "onsdag", 4, "torsdag", 5, "fredag", 6, "lørdag", 7, "søndag"),0)</f>
        <v>lørdag</v>
      </c>
      <c r="D26" s="29">
        <f t="shared" si="0"/>
        <v>7</v>
      </c>
      <c r="E26" s="70">
        <f t="shared" si="3"/>
        <v>46221</v>
      </c>
      <c r="F26" s="10" t="s">
        <v>23</v>
      </c>
      <c r="G26" s="12">
        <f>IF(OR(AND(F26="N",NOT(OR(C26="mandag",C26="tirsdag",C26="onsdag",C26="torsdag",C26="fredag"))),F26="F"),0,
        IF(OR(
            AND(Masterdata!$B$4&lt;&gt;DATE(1900,1,0), Masterdata!$B$4&lt;$E26),
            AND(Masterdata!$B$3&lt;&gt;DATE(1900,1,0), Masterdata!$B$3&gt;$E26)
        ),
        0, $X$7/(5-H26)))</f>
        <v>0</v>
      </c>
      <c r="H26" s="86">
        <f>SUMPRODUCT(COUNTIFS(Juni!$A$9:$A$39,$A26,Juni!$D$9:$D$39,"&lt;7",Juni!$F$9:$F$39,"F")+COUNTIFS($A$9:$A$38,$A26,$D$9:$D$38,"&lt;7",$F$9:$F$38,"F")+COUNTIFS(August!$A$9:$A$39,$A26,August!$D$9:$D$39,"&lt;7",August!$F$9:$F$39,"F"))</f>
        <v>0</v>
      </c>
      <c r="I26" s="11">
        <v>0</v>
      </c>
      <c r="J26" s="11">
        <v>0</v>
      </c>
      <c r="K26" s="11">
        <v>0</v>
      </c>
      <c r="L26" s="26" t="str">
        <f t="shared" si="12"/>
        <v>00:00</v>
      </c>
      <c r="M26" s="26" t="str">
        <f>IF(OR(F26="N",F26="F"),"0:00",
IF(
OR(
AND(Masterdata!$B$4&lt;&gt;DATE(1900,1,0),Masterdata!$B$4&lt;$E26),
AND(Masterdata!$B$3&lt;&gt;DATE(1900,1,0),Masterdata!$B$3&gt;$E26)
),"0:00",
IF(
$I26&gt;TIME(0,0,0),
IF(
NOT(OR($C26="mandag",$C26="tirsdag",$C26="onsdag",$C26="torsdag",$C26="fredag")),
TEXT($I26,"[tt]:mm"),
IF($I26-$G26&gt;=0,TEXT($I26-$G26,"[tt]:mm"),"-"&amp;TEXT(ABS($I26-$G26),"[tt]:mm"))
),
IF(
NOT(OR($C26="mandag",$C26="tirsdag",$C26="onsdag",$C26="torsdag",$C26="fredag")),
IF($K26-$J26&gt;=0,TEXT($K26-$J26,"[tt]:mm"),"-"&amp;TEXT(ABS($K26-$J26),"[tt]:mm")),
IF(
$K26-$J26-$G26&gt;=0,
TEXT($K26-$J26-$G26,"[tt]:mm"),
"-"&amp;TEXT(ABS($K26-$J26-$G26),"[tt]:mm")
)
)
)
))</f>
        <v>0:00</v>
      </c>
      <c r="N26" s="71" t="str">
        <f t="shared" si="13"/>
        <v>0</v>
      </c>
      <c r="O26" s="25" t="str">
        <f t="shared" si="5"/>
        <v>0:</v>
      </c>
      <c r="P26" s="52" t="str">
        <f t="shared" si="6"/>
        <v>0</v>
      </c>
      <c r="Q26" s="53">
        <f t="shared" si="10"/>
        <v>0</v>
      </c>
      <c r="R26" s="30">
        <f t="shared" si="14"/>
        <v>0</v>
      </c>
      <c r="S26" s="98"/>
      <c r="T26" s="98"/>
      <c r="U26" s="29"/>
      <c r="V26" s="29"/>
      <c r="W26" s="29" t="s">
        <v>128</v>
      </c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</row>
    <row r="27" spans="1:45" x14ac:dyDescent="0.3">
      <c r="A27" s="7">
        <f t="shared" si="2"/>
        <v>29</v>
      </c>
      <c r="B27" s="8">
        <f t="shared" si="9"/>
        <v>46222</v>
      </c>
      <c r="C27" s="9" t="str" cm="1">
        <f t="array" ref="C27">_xlfn.XLOOKUP(E27,Masterdata!$B$31:$B$44,Masterdata!$A$31:$A$44,_xlfn.SWITCH(WEEKDAY($D27, 2), 1, "mandag", 2, "tirsdag", 3, "onsdag", 4, "torsdag", 5, "fredag", 6, "lørdag", 7, "søndag"),0)</f>
        <v>søndag</v>
      </c>
      <c r="D27" s="29">
        <f t="shared" si="0"/>
        <v>8</v>
      </c>
      <c r="E27" s="70">
        <f t="shared" si="3"/>
        <v>46222</v>
      </c>
      <c r="F27" s="10" t="s">
        <v>23</v>
      </c>
      <c r="G27" s="12">
        <f>IF(OR(AND(F27="N",NOT(OR(C27="mandag",C27="tirsdag",C27="onsdag",C27="torsdag",C27="fredag"))),F27="F"),0,
        IF(OR(
            AND(Masterdata!$B$4&lt;&gt;DATE(1900,1,0), Masterdata!$B$4&lt;$E27),
            AND(Masterdata!$B$3&lt;&gt;DATE(1900,1,0), Masterdata!$B$3&gt;$E27)
        ),
        0, $X$7/(5-H27)))</f>
        <v>0</v>
      </c>
      <c r="H27" s="86">
        <f>SUMPRODUCT(COUNTIFS(Juni!$A$9:$A$39,$A27,Juni!$D$9:$D$39,"&lt;7",Juni!$F$9:$F$39,"F")+COUNTIFS($A$9:$A$38,$A27,$D$9:$D$38,"&lt;7",$F$9:$F$38,"F")+COUNTIFS(August!$A$9:$A$39,$A27,August!$D$9:$D$39,"&lt;7",August!$F$9:$F$39,"F"))</f>
        <v>0</v>
      </c>
      <c r="I27" s="11">
        <v>0</v>
      </c>
      <c r="J27" s="11">
        <v>0</v>
      </c>
      <c r="K27" s="11">
        <v>0</v>
      </c>
      <c r="L27" s="26" t="str">
        <f t="shared" si="12"/>
        <v>00:00</v>
      </c>
      <c r="M27" s="26" t="str">
        <f>IF(OR(F27="N",F27="F"),"0:00",
IF(
OR(
AND(Masterdata!$B$4&lt;&gt;DATE(1900,1,0),Masterdata!$B$4&lt;$E27),
AND(Masterdata!$B$3&lt;&gt;DATE(1900,1,0),Masterdata!$B$3&gt;$E27)
),"0:00",
IF(
$I27&gt;TIME(0,0,0),
IF(
NOT(OR($C27="mandag",$C27="tirsdag",$C27="onsdag",$C27="torsdag",$C27="fredag")),
TEXT($I27,"[tt]:mm"),
IF($I27-$G27&gt;=0,TEXT($I27-$G27,"[tt]:mm"),"-"&amp;TEXT(ABS($I27-$G27),"[tt]:mm"))
),
IF(
NOT(OR($C27="mandag",$C27="tirsdag",$C27="onsdag",$C27="torsdag",$C27="fredag")),
IF($K27-$J27&gt;=0,TEXT($K27-$J27,"[tt]:mm"),"-"&amp;TEXT(ABS($K27-$J27),"[tt]:mm")),
IF(
$K27-$J27-$G27&gt;=0,
TEXT($K27-$J27-$G27,"[tt]:mm"),
"-"&amp;TEXT(ABS($K27-$J27-$G27),"[tt]:mm")
)
)
)
))</f>
        <v>0:00</v>
      </c>
      <c r="N27" s="71" t="str">
        <f t="shared" si="13"/>
        <v>0</v>
      </c>
      <c r="O27" s="25" t="str">
        <f t="shared" si="5"/>
        <v>0:</v>
      </c>
      <c r="P27" s="52" t="str">
        <f t="shared" si="6"/>
        <v>0</v>
      </c>
      <c r="Q27" s="53">
        <f t="shared" si="10"/>
        <v>0</v>
      </c>
      <c r="R27" s="30">
        <f t="shared" si="14"/>
        <v>0</v>
      </c>
      <c r="S27" s="98"/>
      <c r="T27" s="98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</row>
    <row r="28" spans="1:45" x14ac:dyDescent="0.3">
      <c r="A28" s="7">
        <f t="shared" si="2"/>
        <v>30</v>
      </c>
      <c r="B28" s="8">
        <f t="shared" si="9"/>
        <v>46223</v>
      </c>
      <c r="C28" s="9" t="str" cm="1">
        <f t="array" ref="C28">_xlfn.XLOOKUP(E28,Masterdata!$B$31:$B$44,Masterdata!$A$31:$A$44,_xlfn.SWITCH(WEEKDAY($D28, 2), 1, "mandag", 2, "tirsdag", 3, "onsdag", 4, "torsdag", 5, "fredag", 6, "lørdag", 7, "søndag"),0)</f>
        <v>mandag</v>
      </c>
      <c r="D28" s="29">
        <f t="shared" si="0"/>
        <v>2</v>
      </c>
      <c r="E28" s="70">
        <f t="shared" si="3"/>
        <v>46223</v>
      </c>
      <c r="F28" s="10" t="s">
        <v>23</v>
      </c>
      <c r="G28" s="12">
        <f>IF(OR(AND(F28="N",NOT(OR(C28="mandag",C28="tirsdag",C28="onsdag",C28="torsdag",C28="fredag"))),F28="F"),0,
        IF(OR(
            AND(Masterdata!$B$4&lt;&gt;DATE(1900,1,0), Masterdata!$B$4&lt;$E28),
            AND(Masterdata!$B$3&lt;&gt;DATE(1900,1,0), Masterdata!$B$3&gt;$E28)
        ),
        0, $X$7/(5-H28)))</f>
        <v>0.30833333333333335</v>
      </c>
      <c r="H28" s="86">
        <f>SUMPRODUCT(COUNTIFS(Juni!$A$9:$A$39,$A28,Juni!$D$9:$D$39,"&lt;7",Juni!$F$9:$F$39,"F")+COUNTIFS($A$9:$A$38,$A28,$D$9:$D$38,"&lt;7",$F$9:$F$38,"F")+COUNTIFS(August!$A$9:$A$39,$A28,August!$D$9:$D$39,"&lt;7",August!$F$9:$F$39,"F"))</f>
        <v>0</v>
      </c>
      <c r="I28" s="11">
        <v>0</v>
      </c>
      <c r="J28" s="11">
        <v>0</v>
      </c>
      <c r="K28" s="11">
        <v>0</v>
      </c>
      <c r="L28" s="26" t="str">
        <f t="shared" si="12"/>
        <v>07:24</v>
      </c>
      <c r="M28" s="26" t="str">
        <f>IF(OR(F28="N",F28="F"),"0:00",
IF(
OR(
AND(Masterdata!$B$4&lt;&gt;DATE(1900,1,0),Masterdata!$B$4&lt;$E28),
AND(Masterdata!$B$3&lt;&gt;DATE(1900,1,0),Masterdata!$B$3&gt;$E28)
),"0:00",
IF(
$I28&gt;TIME(0,0,0),
IF(
NOT(OR($C28="mandag",$C28="tirsdag",$C28="onsdag",$C28="torsdag",$C28="fredag")),
TEXT($I28,"[tt]:mm"),
IF($I28-$G28&gt;=0,TEXT($I28-$G28,"[tt]:mm"),"-"&amp;TEXT(ABS($I28-$G28),"[tt]:mm"))
),
IF(
NOT(OR($C28="mandag",$C28="tirsdag",$C28="onsdag",$C28="torsdag",$C28="fredag")),
IF($K28-$J28&gt;=0,TEXT($K28-$J28,"[tt]:mm"),"-"&amp;TEXT(ABS($K28-$J28),"[tt]:mm")),
IF(
$K28-$J28-$G28&gt;=0,
TEXT($K28-$J28-$G28,"[tt]:mm"),
"-"&amp;TEXT(ABS($K28-$J28-$G28),"[tt]:mm")
)
)
)
))</f>
        <v>0:00</v>
      </c>
      <c r="N28" s="71" t="str">
        <f t="shared" si="13"/>
        <v>0</v>
      </c>
      <c r="O28" s="25" t="str">
        <f t="shared" si="5"/>
        <v>0:</v>
      </c>
      <c r="P28" s="52" t="str">
        <f t="shared" si="6"/>
        <v>0</v>
      </c>
      <c r="Q28" s="53">
        <f t="shared" si="10"/>
        <v>0</v>
      </c>
      <c r="R28" s="30">
        <f t="shared" si="14"/>
        <v>0</v>
      </c>
      <c r="S28" s="98"/>
      <c r="T28" s="98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</row>
    <row r="29" spans="1:45" x14ac:dyDescent="0.3">
      <c r="A29" s="7">
        <f t="shared" si="2"/>
        <v>30</v>
      </c>
      <c r="B29" s="8">
        <f t="shared" si="9"/>
        <v>46224</v>
      </c>
      <c r="C29" s="9" t="str" cm="1">
        <f t="array" ref="C29">_xlfn.XLOOKUP(E29,Masterdata!$B$31:$B$44,Masterdata!$A$31:$A$44,_xlfn.SWITCH(WEEKDAY($D29, 2), 1, "mandag", 2, "tirsdag", 3, "onsdag", 4, "torsdag", 5, "fredag", 6, "lørdag", 7, "søndag"),0)</f>
        <v>tirsdag</v>
      </c>
      <c r="D29" s="29">
        <f t="shared" si="0"/>
        <v>3</v>
      </c>
      <c r="E29" s="70">
        <f t="shared" si="3"/>
        <v>46224</v>
      </c>
      <c r="F29" s="10" t="s">
        <v>23</v>
      </c>
      <c r="G29" s="12">
        <f>IF(OR(AND(F29="N",NOT(OR(C29="mandag",C29="tirsdag",C29="onsdag",C29="torsdag",C29="fredag"))),F29="F"),0,
        IF(OR(
            AND(Masterdata!$B$4&lt;&gt;DATE(1900,1,0), Masterdata!$B$4&lt;$E29),
            AND(Masterdata!$B$3&lt;&gt;DATE(1900,1,0), Masterdata!$B$3&gt;$E29)
        ),
        0, $X$7/(5-H29)))</f>
        <v>0.30833333333333335</v>
      </c>
      <c r="H29" s="86">
        <f>SUMPRODUCT(COUNTIFS(Juni!$A$9:$A$39,$A29,Juni!$D$9:$D$39,"&lt;7",Juni!$F$9:$F$39,"F")+COUNTIFS($A$9:$A$38,$A29,$D$9:$D$38,"&lt;7",$F$9:$F$38,"F")+COUNTIFS(August!$A$9:$A$39,$A29,August!$D$9:$D$39,"&lt;7",August!$F$9:$F$39,"F"))</f>
        <v>0</v>
      </c>
      <c r="I29" s="11">
        <v>0</v>
      </c>
      <c r="J29" s="11">
        <v>0</v>
      </c>
      <c r="K29" s="11">
        <v>0</v>
      </c>
      <c r="L29" s="26" t="str">
        <f t="shared" si="12"/>
        <v>07:24</v>
      </c>
      <c r="M29" s="26" t="str">
        <f>IF(OR(F29="N",F29="F"),"0:00",
IF(
OR(
AND(Masterdata!$B$4&lt;&gt;DATE(1900,1,0),Masterdata!$B$4&lt;$E29),
AND(Masterdata!$B$3&lt;&gt;DATE(1900,1,0),Masterdata!$B$3&gt;$E29)
),"0:00",
IF(
$I29&gt;TIME(0,0,0),
IF(
NOT(OR($C29="mandag",$C29="tirsdag",$C29="onsdag",$C29="torsdag",$C29="fredag")),
TEXT($I29,"[tt]:mm"),
IF($I29-$G29&gt;=0,TEXT($I29-$G29,"[tt]:mm"),"-"&amp;TEXT(ABS($I29-$G29),"[tt]:mm"))
),
IF(
NOT(OR($C29="mandag",$C29="tirsdag",$C29="onsdag",$C29="torsdag",$C29="fredag")),
IF($K29-$J29&gt;=0,TEXT($K29-$J29,"[tt]:mm"),"-"&amp;TEXT(ABS($K29-$J29),"[tt]:mm")),
IF(
$K29-$J29-$G29&gt;=0,
TEXT($K29-$J29-$G29,"[tt]:mm"),
"-"&amp;TEXT(ABS($K29-$J29-$G29),"[tt]:mm")
)
)
)
))</f>
        <v>0:00</v>
      </c>
      <c r="N29" s="71" t="str">
        <f t="shared" si="13"/>
        <v>0</v>
      </c>
      <c r="O29" s="25" t="str">
        <f t="shared" si="5"/>
        <v>0:</v>
      </c>
      <c r="P29" s="52" t="str">
        <f t="shared" si="6"/>
        <v>0</v>
      </c>
      <c r="Q29" s="53">
        <f t="shared" si="10"/>
        <v>0</v>
      </c>
      <c r="R29" s="30">
        <f t="shared" si="14"/>
        <v>0</v>
      </c>
      <c r="S29" s="98"/>
      <c r="T29" s="98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</row>
    <row r="30" spans="1:45" x14ac:dyDescent="0.3">
      <c r="A30" s="7">
        <f t="shared" si="2"/>
        <v>30</v>
      </c>
      <c r="B30" s="8">
        <f t="shared" si="9"/>
        <v>46225</v>
      </c>
      <c r="C30" s="9" t="str" cm="1">
        <f t="array" ref="C30">_xlfn.XLOOKUP(E30,Masterdata!$B$31:$B$44,Masterdata!$A$31:$A$44,_xlfn.SWITCH(WEEKDAY($D30, 2), 1, "mandag", 2, "tirsdag", 3, "onsdag", 4, "torsdag", 5, "fredag", 6, "lørdag", 7, "søndag"),0)</f>
        <v>onsdag</v>
      </c>
      <c r="D30" s="29">
        <f t="shared" si="0"/>
        <v>4</v>
      </c>
      <c r="E30" s="70">
        <f t="shared" si="3"/>
        <v>46225</v>
      </c>
      <c r="F30" s="10" t="s">
        <v>23</v>
      </c>
      <c r="G30" s="12">
        <f>IF(OR(AND(F30="N",NOT(OR(C30="mandag",C30="tirsdag",C30="onsdag",C30="torsdag",C30="fredag"))),F30="F"),0,
        IF(OR(
            AND(Masterdata!$B$4&lt;&gt;DATE(1900,1,0), Masterdata!$B$4&lt;$E30),
            AND(Masterdata!$B$3&lt;&gt;DATE(1900,1,0), Masterdata!$B$3&gt;$E30)
        ),
        0, $X$7/(5-H30)))</f>
        <v>0.30833333333333335</v>
      </c>
      <c r="H30" s="86">
        <f>SUMPRODUCT(COUNTIFS(Juni!$A$9:$A$39,$A30,Juni!$D$9:$D$39,"&lt;7",Juni!$F$9:$F$39,"F")+COUNTIFS($A$9:$A$38,$A30,$D$9:$D$38,"&lt;7",$F$9:$F$38,"F")+COUNTIFS(August!$A$9:$A$39,$A30,August!$D$9:$D$39,"&lt;7",August!$F$9:$F$39,"F"))</f>
        <v>0</v>
      </c>
      <c r="I30" s="11">
        <v>0</v>
      </c>
      <c r="J30" s="11">
        <v>0</v>
      </c>
      <c r="K30" s="11">
        <v>0</v>
      </c>
      <c r="L30" s="26" t="str">
        <f t="shared" si="12"/>
        <v>07:24</v>
      </c>
      <c r="M30" s="26" t="str">
        <f>IF(OR(F30="N",F30="F"),"0:00",
IF(
OR(
AND(Masterdata!$B$4&lt;&gt;DATE(1900,1,0),Masterdata!$B$4&lt;$E30),
AND(Masterdata!$B$3&lt;&gt;DATE(1900,1,0),Masterdata!$B$3&gt;$E30)
),"0:00",
IF(
$I30&gt;TIME(0,0,0),
IF(
NOT(OR($C30="mandag",$C30="tirsdag",$C30="onsdag",$C30="torsdag",$C30="fredag")),
TEXT($I30,"[tt]:mm"),
IF($I30-$G30&gt;=0,TEXT($I30-$G30,"[tt]:mm"),"-"&amp;TEXT(ABS($I30-$G30),"[tt]:mm"))
),
IF(
NOT(OR($C30="mandag",$C30="tirsdag",$C30="onsdag",$C30="torsdag",$C30="fredag")),
IF($K30-$J30&gt;=0,TEXT($K30-$J30,"[tt]:mm"),"-"&amp;TEXT(ABS($K30-$J30),"[tt]:mm")),
IF(
$K30-$J30-$G30&gt;=0,
TEXT($K30-$J30-$G30,"[tt]:mm"),
"-"&amp;TEXT(ABS($K30-$J30-$G30),"[tt]:mm")
)
)
)
))</f>
        <v>0:00</v>
      </c>
      <c r="N30" s="71" t="str">
        <f t="shared" si="13"/>
        <v>0</v>
      </c>
      <c r="O30" s="25" t="str">
        <f t="shared" si="5"/>
        <v>0:</v>
      </c>
      <c r="P30" s="52" t="str">
        <f t="shared" si="6"/>
        <v>0</v>
      </c>
      <c r="Q30" s="53">
        <f t="shared" si="10"/>
        <v>0</v>
      </c>
      <c r="R30" s="30">
        <f t="shared" si="14"/>
        <v>0</v>
      </c>
      <c r="S30" s="98"/>
      <c r="T30" s="98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</row>
    <row r="31" spans="1:45" x14ac:dyDescent="0.3">
      <c r="A31" s="7">
        <f t="shared" si="2"/>
        <v>30</v>
      </c>
      <c r="B31" s="8">
        <f t="shared" si="9"/>
        <v>46226</v>
      </c>
      <c r="C31" s="9" t="str" cm="1">
        <f t="array" ref="C31">_xlfn.XLOOKUP(E31,Masterdata!$B$31:$B$44,Masterdata!$A$31:$A$44,_xlfn.SWITCH(WEEKDAY($D31, 2), 1, "mandag", 2, "tirsdag", 3, "onsdag", 4, "torsdag", 5, "fredag", 6, "lørdag", 7, "søndag"),0)</f>
        <v>torsdag</v>
      </c>
      <c r="D31" s="29">
        <f t="shared" si="0"/>
        <v>5</v>
      </c>
      <c r="E31" s="70">
        <f t="shared" si="3"/>
        <v>46226</v>
      </c>
      <c r="F31" s="10" t="s">
        <v>23</v>
      </c>
      <c r="G31" s="12">
        <f>IF(OR(AND(F31="N",NOT(OR(C31="mandag",C31="tirsdag",C31="onsdag",C31="torsdag",C31="fredag"))),F31="F"),0,
        IF(OR(
            AND(Masterdata!$B$4&lt;&gt;DATE(1900,1,0), Masterdata!$B$4&lt;$E31),
            AND(Masterdata!$B$3&lt;&gt;DATE(1900,1,0), Masterdata!$B$3&gt;$E31)
        ),
        0, $X$7/(5-H31)))</f>
        <v>0.30833333333333335</v>
      </c>
      <c r="H31" s="86">
        <f>SUMPRODUCT(COUNTIFS(Juni!$A$9:$A$39,$A31,Juni!$D$9:$D$39,"&lt;7",Juni!$F$9:$F$39,"F")+COUNTIFS($A$9:$A$38,$A31,$D$9:$D$38,"&lt;7",$F$9:$F$38,"F")+COUNTIFS(August!$A$9:$A$39,$A31,August!$D$9:$D$39,"&lt;7",August!$F$9:$F$39,"F"))</f>
        <v>0</v>
      </c>
      <c r="I31" s="11">
        <v>0</v>
      </c>
      <c r="J31" s="11">
        <v>0</v>
      </c>
      <c r="K31" s="11">
        <v>0</v>
      </c>
      <c r="L31" s="26" t="str">
        <f t="shared" si="12"/>
        <v>07:24</v>
      </c>
      <c r="M31" s="26" t="str">
        <f>IF(OR(F31="N",F31="F"),"0:00",
IF(
OR(
AND(Masterdata!$B$4&lt;&gt;DATE(1900,1,0),Masterdata!$B$4&lt;$E31),
AND(Masterdata!$B$3&lt;&gt;DATE(1900,1,0),Masterdata!$B$3&gt;$E31)
),"0:00",
IF(
$I31&gt;TIME(0,0,0),
IF(
NOT(OR($C31="mandag",$C31="tirsdag",$C31="onsdag",$C31="torsdag",$C31="fredag")),
TEXT($I31,"[tt]:mm"),
IF($I31-$G31&gt;=0,TEXT($I31-$G31,"[tt]:mm"),"-"&amp;TEXT(ABS($I31-$G31),"[tt]:mm"))
),
IF(
NOT(OR($C31="mandag",$C31="tirsdag",$C31="onsdag",$C31="torsdag",$C31="fredag")),
IF($K31-$J31&gt;=0,TEXT($K31-$J31,"[tt]:mm"),"-"&amp;TEXT(ABS($K31-$J31),"[tt]:mm")),
IF(
$K31-$J31-$G31&gt;=0,
TEXT($K31-$J31-$G31,"[tt]:mm"),
"-"&amp;TEXT(ABS($K31-$J31-$G31),"[tt]:mm")
)
)
)
))</f>
        <v>0:00</v>
      </c>
      <c r="N31" s="71" t="str">
        <f t="shared" si="13"/>
        <v>0</v>
      </c>
      <c r="O31" s="25" t="str">
        <f t="shared" si="5"/>
        <v>0:</v>
      </c>
      <c r="P31" s="52" t="str">
        <f t="shared" si="6"/>
        <v>0</v>
      </c>
      <c r="Q31" s="53">
        <f t="shared" si="10"/>
        <v>0</v>
      </c>
      <c r="R31" s="30">
        <f t="shared" si="14"/>
        <v>0</v>
      </c>
      <c r="S31" s="98"/>
      <c r="T31" s="98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</row>
    <row r="32" spans="1:45" x14ac:dyDescent="0.3">
      <c r="A32" s="7">
        <f t="shared" si="2"/>
        <v>30</v>
      </c>
      <c r="B32" s="8">
        <f t="shared" si="9"/>
        <v>46227</v>
      </c>
      <c r="C32" s="9" t="str" cm="1">
        <f t="array" ref="C32">_xlfn.XLOOKUP(E32,Masterdata!$B$31:$B$44,Masterdata!$A$31:$A$44,_xlfn.SWITCH(WEEKDAY($D32, 2), 1, "mandag", 2, "tirsdag", 3, "onsdag", 4, "torsdag", 5, "fredag", 6, "lørdag", 7, "søndag"),0)</f>
        <v>fredag</v>
      </c>
      <c r="D32" s="29">
        <f t="shared" si="0"/>
        <v>6</v>
      </c>
      <c r="E32" s="70">
        <f t="shared" si="3"/>
        <v>46227</v>
      </c>
      <c r="F32" s="10" t="s">
        <v>23</v>
      </c>
      <c r="G32" s="12">
        <f>IF(OR(AND(F32="N",NOT(OR(C32="mandag",C32="tirsdag",C32="onsdag",C32="torsdag",C32="fredag"))),F32="F"),0,
        IF(OR(
            AND(Masterdata!$B$4&lt;&gt;DATE(1900,1,0), Masterdata!$B$4&lt;$E32),
            AND(Masterdata!$B$3&lt;&gt;DATE(1900,1,0), Masterdata!$B$3&gt;$E32)
        ),
        0, $X$7/(5-H32)))</f>
        <v>0.30833333333333335</v>
      </c>
      <c r="H32" s="86">
        <f>SUMPRODUCT(COUNTIFS(Juni!$A$9:$A$39,$A32,Juni!$D$9:$D$39,"&lt;7",Juni!$F$9:$F$39,"F")+COUNTIFS($A$9:$A$38,$A32,$D$9:$D$38,"&lt;7",$F$9:$F$38,"F")+COUNTIFS(August!$A$9:$A$39,$A32,August!$D$9:$D$39,"&lt;7",August!$F$9:$F$39,"F"))</f>
        <v>0</v>
      </c>
      <c r="I32" s="11">
        <v>0</v>
      </c>
      <c r="J32" s="11">
        <v>0</v>
      </c>
      <c r="K32" s="11">
        <v>0</v>
      </c>
      <c r="L32" s="26" t="str">
        <f t="shared" si="12"/>
        <v>07:24</v>
      </c>
      <c r="M32" s="26" t="str">
        <f>IF(OR(F32="N",F32="F"),"0:00",
IF(
OR(
AND(Masterdata!$B$4&lt;&gt;DATE(1900,1,0),Masterdata!$B$4&lt;$E32),
AND(Masterdata!$B$3&lt;&gt;DATE(1900,1,0),Masterdata!$B$3&gt;$E32)
),"0:00",
IF(
$I32&gt;TIME(0,0,0),
IF(
NOT(OR($C32="mandag",$C32="tirsdag",$C32="onsdag",$C32="torsdag",$C32="fredag")),
TEXT($I32,"[tt]:mm"),
IF($I32-$G32&gt;=0,TEXT($I32-$G32,"[tt]:mm"),"-"&amp;TEXT(ABS($I32-$G32),"[tt]:mm"))
),
IF(
NOT(OR($C32="mandag",$C32="tirsdag",$C32="onsdag",$C32="torsdag",$C32="fredag")),
IF($K32-$J32&gt;=0,TEXT($K32-$J32,"[tt]:mm"),"-"&amp;TEXT(ABS($K32-$J32),"[tt]:mm")),
IF(
$K32-$J32-$G32&gt;=0,
TEXT($K32-$J32-$G32,"[tt]:mm"),
"-"&amp;TEXT(ABS($K32-$J32-$G32),"[tt]:mm")
)
)
)
))</f>
        <v>0:00</v>
      </c>
      <c r="N32" s="71" t="str">
        <f t="shared" si="13"/>
        <v>0</v>
      </c>
      <c r="O32" s="25" t="str">
        <f t="shared" si="5"/>
        <v>0:</v>
      </c>
      <c r="P32" s="52" t="str">
        <f t="shared" si="6"/>
        <v>0</v>
      </c>
      <c r="Q32" s="53">
        <f t="shared" si="10"/>
        <v>0</v>
      </c>
      <c r="R32" s="30">
        <f t="shared" si="14"/>
        <v>0</v>
      </c>
      <c r="S32" s="98"/>
      <c r="T32" s="98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</row>
    <row r="33" spans="1:45" x14ac:dyDescent="0.3">
      <c r="A33" s="7">
        <f t="shared" si="2"/>
        <v>30</v>
      </c>
      <c r="B33" s="8">
        <f t="shared" si="9"/>
        <v>46228</v>
      </c>
      <c r="C33" s="9" t="str" cm="1">
        <f t="array" ref="C33">_xlfn.XLOOKUP(E33,Masterdata!$B$31:$B$44,Masterdata!$A$31:$A$44,_xlfn.SWITCH(WEEKDAY($D33, 2), 1, "mandag", 2, "tirsdag", 3, "onsdag", 4, "torsdag", 5, "fredag", 6, "lørdag", 7, "søndag"),0)</f>
        <v>lørdag</v>
      </c>
      <c r="D33" s="29">
        <f t="shared" si="0"/>
        <v>7</v>
      </c>
      <c r="E33" s="70">
        <f t="shared" si="3"/>
        <v>46228</v>
      </c>
      <c r="F33" s="10" t="s">
        <v>23</v>
      </c>
      <c r="G33" s="12">
        <f>IF(OR(AND(F33="N",NOT(OR(C33="mandag",C33="tirsdag",C33="onsdag",C33="torsdag",C33="fredag"))),F33="F"),0,
        IF(OR(
            AND(Masterdata!$B$4&lt;&gt;DATE(1900,1,0), Masterdata!$B$4&lt;$E33),
            AND(Masterdata!$B$3&lt;&gt;DATE(1900,1,0), Masterdata!$B$3&gt;$E33)
        ),
        0, $X$7/(5-H33)))</f>
        <v>0</v>
      </c>
      <c r="H33" s="86">
        <f>SUMPRODUCT(COUNTIFS(Juni!$A$9:$A$39,$A33,Juni!$D$9:$D$39,"&lt;7",Juni!$F$9:$F$39,"F")+COUNTIFS($A$9:$A$38,$A33,$D$9:$D$38,"&lt;7",$F$9:$F$38,"F")+COUNTIFS(August!$A$9:$A$39,$A33,August!$D$9:$D$39,"&lt;7",August!$F$9:$F$39,"F"))</f>
        <v>0</v>
      </c>
      <c r="I33" s="11">
        <v>0</v>
      </c>
      <c r="J33" s="11">
        <v>0</v>
      </c>
      <c r="K33" s="11">
        <v>0</v>
      </c>
      <c r="L33" s="26" t="str">
        <f t="shared" si="12"/>
        <v>00:00</v>
      </c>
      <c r="M33" s="26" t="str">
        <f>IF(OR(F33="N",F33="F"),"0:00",
IF(
OR(
AND(Masterdata!$B$4&lt;&gt;DATE(1900,1,0),Masterdata!$B$4&lt;$E33),
AND(Masterdata!$B$3&lt;&gt;DATE(1900,1,0),Masterdata!$B$3&gt;$E33)
),"0:00",
IF(
$I33&gt;TIME(0,0,0),
IF(
NOT(OR($C33="mandag",$C33="tirsdag",$C33="onsdag",$C33="torsdag",$C33="fredag")),
TEXT($I33,"[tt]:mm"),
IF($I33-$G33&gt;=0,TEXT($I33-$G33,"[tt]:mm"),"-"&amp;TEXT(ABS($I33-$G33),"[tt]:mm"))
),
IF(
NOT(OR($C33="mandag",$C33="tirsdag",$C33="onsdag",$C33="torsdag",$C33="fredag")),
IF($K33-$J33&gt;=0,TEXT($K33-$J33,"[tt]:mm"),"-"&amp;TEXT(ABS($K33-$J33),"[tt]:mm")),
IF(
$K33-$J33-$G33&gt;=0,
TEXT($K33-$J33-$G33,"[tt]:mm"),
"-"&amp;TEXT(ABS($K33-$J33-$G33),"[tt]:mm")
)
)
)
))</f>
        <v>0:00</v>
      </c>
      <c r="N33" s="71" t="str">
        <f t="shared" si="13"/>
        <v>0</v>
      </c>
      <c r="O33" s="25" t="str">
        <f t="shared" si="5"/>
        <v>0:</v>
      </c>
      <c r="P33" s="52" t="str">
        <f t="shared" si="6"/>
        <v>0</v>
      </c>
      <c r="Q33" s="53">
        <f t="shared" si="10"/>
        <v>0</v>
      </c>
      <c r="R33" s="30">
        <f t="shared" si="14"/>
        <v>0</v>
      </c>
      <c r="S33" s="98"/>
      <c r="T33" s="98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</row>
    <row r="34" spans="1:45" x14ac:dyDescent="0.3">
      <c r="A34" s="7">
        <f t="shared" si="2"/>
        <v>30</v>
      </c>
      <c r="B34" s="8">
        <f t="shared" si="9"/>
        <v>46229</v>
      </c>
      <c r="C34" s="9" t="str" cm="1">
        <f t="array" ref="C34">_xlfn.XLOOKUP(E34,Masterdata!$B$31:$B$44,Masterdata!$A$31:$A$44,_xlfn.SWITCH(WEEKDAY($D34, 2), 1, "mandag", 2, "tirsdag", 3, "onsdag", 4, "torsdag", 5, "fredag", 6, "lørdag", 7, "søndag"),0)</f>
        <v>søndag</v>
      </c>
      <c r="D34" s="29">
        <f t="shared" si="0"/>
        <v>8</v>
      </c>
      <c r="E34" s="70">
        <f t="shared" si="3"/>
        <v>46229</v>
      </c>
      <c r="F34" s="10" t="s">
        <v>23</v>
      </c>
      <c r="G34" s="12">
        <f>IF(OR(AND(F34="N",NOT(OR(C34="mandag",C34="tirsdag",C34="onsdag",C34="torsdag",C34="fredag"))),F34="F"),0,
        IF(OR(
            AND(Masterdata!$B$4&lt;&gt;DATE(1900,1,0), Masterdata!$B$4&lt;$E34),
            AND(Masterdata!$B$3&lt;&gt;DATE(1900,1,0), Masterdata!$B$3&gt;$E34)
        ),
        0, $X$7/(5-H34)))</f>
        <v>0</v>
      </c>
      <c r="H34" s="86">
        <f>SUMPRODUCT(COUNTIFS(Juni!$A$9:$A$39,$A34,Juni!$D$9:$D$39,"&lt;7",Juni!$F$9:$F$39,"F")+COUNTIFS($A$9:$A$38,$A34,$D$9:$D$38,"&lt;7",$F$9:$F$38,"F")+COUNTIFS(August!$A$9:$A$39,$A34,August!$D$9:$D$39,"&lt;7",August!$F$9:$F$39,"F"))</f>
        <v>0</v>
      </c>
      <c r="I34" s="11">
        <v>0</v>
      </c>
      <c r="J34" s="11">
        <v>0</v>
      </c>
      <c r="K34" s="11">
        <v>0</v>
      </c>
      <c r="L34" s="26" t="str">
        <f t="shared" si="12"/>
        <v>00:00</v>
      </c>
      <c r="M34" s="26" t="str">
        <f>IF(OR(F34="N",F34="F"),"0:00",
IF(
OR(
AND(Masterdata!$B$4&lt;&gt;DATE(1900,1,0),Masterdata!$B$4&lt;$E34),
AND(Masterdata!$B$3&lt;&gt;DATE(1900,1,0),Masterdata!$B$3&gt;$E34)
),"0:00",
IF(
$I34&gt;TIME(0,0,0),
IF(
NOT(OR($C34="mandag",$C34="tirsdag",$C34="onsdag",$C34="torsdag",$C34="fredag")),
TEXT($I34,"[tt]:mm"),
IF($I34-$G34&gt;=0,TEXT($I34-$G34,"[tt]:mm"),"-"&amp;TEXT(ABS($I34-$G34),"[tt]:mm"))
),
IF(
NOT(OR($C34="mandag",$C34="tirsdag",$C34="onsdag",$C34="torsdag",$C34="fredag")),
IF($K34-$J34&gt;=0,TEXT($K34-$J34,"[tt]:mm"),"-"&amp;TEXT(ABS($K34-$J34),"[tt]:mm")),
IF(
$K34-$J34-$G34&gt;=0,
TEXT($K34-$J34-$G34,"[tt]:mm"),
"-"&amp;TEXT(ABS($K34-$J34-$G34),"[tt]:mm")
)
)
)
))</f>
        <v>0:00</v>
      </c>
      <c r="N34" s="71" t="str">
        <f t="shared" si="13"/>
        <v>0</v>
      </c>
      <c r="O34" s="25" t="str">
        <f t="shared" si="5"/>
        <v>0:</v>
      </c>
      <c r="P34" s="52" t="str">
        <f t="shared" si="6"/>
        <v>0</v>
      </c>
      <c r="Q34" s="53">
        <f t="shared" si="10"/>
        <v>0</v>
      </c>
      <c r="R34" s="30">
        <f t="shared" si="14"/>
        <v>0</v>
      </c>
      <c r="S34" s="98"/>
      <c r="T34" s="98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</row>
    <row r="35" spans="1:45" x14ac:dyDescent="0.3">
      <c r="A35" s="7">
        <f t="shared" si="2"/>
        <v>31</v>
      </c>
      <c r="B35" s="8">
        <f t="shared" si="9"/>
        <v>46230</v>
      </c>
      <c r="C35" s="9" t="str" cm="1">
        <f t="array" ref="C35">_xlfn.XLOOKUP(E35,Masterdata!$B$31:$B$44,Masterdata!$A$31:$A$44,_xlfn.SWITCH(WEEKDAY($D35, 2), 1, "mandag", 2, "tirsdag", 3, "onsdag", 4, "torsdag", 5, "fredag", 6, "lørdag", 7, "søndag"),0)</f>
        <v>mandag</v>
      </c>
      <c r="D35" s="29">
        <f t="shared" si="0"/>
        <v>2</v>
      </c>
      <c r="E35" s="70">
        <f t="shared" si="3"/>
        <v>46230</v>
      </c>
      <c r="F35" s="10" t="s">
        <v>23</v>
      </c>
      <c r="G35" s="12">
        <f>IF(OR(AND(F35="N",NOT(OR(C35="mandag",C35="tirsdag",C35="onsdag",C35="torsdag",C35="fredag"))),F35="F"),0,
        IF(OR(
            AND(Masterdata!$B$4&lt;&gt;DATE(1900,1,0), Masterdata!$B$4&lt;$E35),
            AND(Masterdata!$B$3&lt;&gt;DATE(1900,1,0), Masterdata!$B$3&gt;$E35)
        ),
        0, $X$7/(5-H35)))</f>
        <v>0.30833333333333335</v>
      </c>
      <c r="H35" s="86">
        <f>SUMPRODUCT(COUNTIFS(Juni!$A$9:$A$39,$A35,Juni!$D$9:$D$39,"&lt;7",Juni!$F$9:$F$39,"F")+COUNTIFS($A$9:$A$38,$A35,$D$9:$D$38,"&lt;7",$F$9:$F$38,"F")+COUNTIFS(August!$A$9:$A$39,$A35,August!$D$9:$D$39,"&lt;7",August!$F$9:$F$39,"F"))</f>
        <v>0</v>
      </c>
      <c r="I35" s="11">
        <v>0</v>
      </c>
      <c r="J35" s="11">
        <v>0</v>
      </c>
      <c r="K35" s="11">
        <v>0</v>
      </c>
      <c r="L35" s="26" t="str">
        <f t="shared" si="12"/>
        <v>07:24</v>
      </c>
      <c r="M35" s="26" t="str">
        <f>IF(OR(F35="N",F35="F"),"0:00",
IF(
OR(
AND(Masterdata!$B$4&lt;&gt;DATE(1900,1,0),Masterdata!$B$4&lt;$E35),
AND(Masterdata!$B$3&lt;&gt;DATE(1900,1,0),Masterdata!$B$3&gt;$E35)
),"0:00",
IF(
$I35&gt;TIME(0,0,0),
IF(
NOT(OR($C35="mandag",$C35="tirsdag",$C35="onsdag",$C35="torsdag",$C35="fredag")),
TEXT($I35,"[tt]:mm"),
IF($I35-$G35&gt;=0,TEXT($I35-$G35,"[tt]:mm"),"-"&amp;TEXT(ABS($I35-$G35),"[tt]:mm"))
),
IF(
NOT(OR($C35="mandag",$C35="tirsdag",$C35="onsdag",$C35="torsdag",$C35="fredag")),
IF($K35-$J35&gt;=0,TEXT($K35-$J35,"[tt]:mm"),"-"&amp;TEXT(ABS($K35-$J35),"[tt]:mm")),
IF(
$K35-$J35-$G35&gt;=0,
TEXT($K35-$J35-$G35,"[tt]:mm"),
"-"&amp;TEXT(ABS($K35-$J35-$G35),"[tt]:mm")
)
)
)
))</f>
        <v>0:00</v>
      </c>
      <c r="N35" s="71" t="str">
        <f t="shared" si="13"/>
        <v>0</v>
      </c>
      <c r="O35" s="25" t="str">
        <f t="shared" si="5"/>
        <v>0:</v>
      </c>
      <c r="P35" s="52" t="str">
        <f t="shared" si="6"/>
        <v>0</v>
      </c>
      <c r="Q35" s="53">
        <f t="shared" si="10"/>
        <v>0</v>
      </c>
      <c r="R35" s="30">
        <f t="shared" si="14"/>
        <v>0</v>
      </c>
      <c r="S35" s="98"/>
      <c r="T35" s="98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</row>
    <row r="36" spans="1:45" x14ac:dyDescent="0.3">
      <c r="A36" s="7">
        <f t="shared" si="2"/>
        <v>31</v>
      </c>
      <c r="B36" s="8">
        <f t="shared" si="9"/>
        <v>46231</v>
      </c>
      <c r="C36" s="9" t="str" cm="1">
        <f t="array" ref="C36">_xlfn.XLOOKUP(E36,Masterdata!$B$31:$B$44,Masterdata!$A$31:$A$44,_xlfn.SWITCH(WEEKDAY($D36, 2), 1, "mandag", 2, "tirsdag", 3, "onsdag", 4, "torsdag", 5, "fredag", 6, "lørdag", 7, "søndag"),0)</f>
        <v>tirsdag</v>
      </c>
      <c r="D36" s="29">
        <f t="shared" si="0"/>
        <v>3</v>
      </c>
      <c r="E36" s="70">
        <f t="shared" si="3"/>
        <v>46231</v>
      </c>
      <c r="F36" s="10" t="s">
        <v>23</v>
      </c>
      <c r="G36" s="12">
        <f>IF(OR(AND(F36="N",NOT(OR(C36="mandag",C36="tirsdag",C36="onsdag",C36="torsdag",C36="fredag"))),F36="F"),0,
        IF(OR(
            AND(Masterdata!$B$4&lt;&gt;DATE(1900,1,0), Masterdata!$B$4&lt;$E36),
            AND(Masterdata!$B$3&lt;&gt;DATE(1900,1,0), Masterdata!$B$3&gt;$E36)
        ),
        0, $X$7/(5-H36)))</f>
        <v>0.30833333333333335</v>
      </c>
      <c r="H36" s="86">
        <f>SUMPRODUCT(COUNTIFS(Juni!$A$9:$A$39,$A36,Juni!$D$9:$D$39,"&lt;7",Juni!$F$9:$F$39,"F")+COUNTIFS($A$9:$A$38,$A36,$D$9:$D$38,"&lt;7",$F$9:$F$38,"F")+COUNTIFS(August!$A$9:$A$39,$A36,August!$D$9:$D$39,"&lt;7",August!$F$9:$F$39,"F"))</f>
        <v>0</v>
      </c>
      <c r="I36" s="11">
        <v>0</v>
      </c>
      <c r="J36" s="11">
        <v>0</v>
      </c>
      <c r="K36" s="11">
        <v>0</v>
      </c>
      <c r="L36" s="26" t="str">
        <f t="shared" si="12"/>
        <v>07:24</v>
      </c>
      <c r="M36" s="26" t="str">
        <f>IF(OR(F36="N",F36="F"),"0:00",
IF(
OR(
AND(Masterdata!$B$4&lt;&gt;DATE(1900,1,0),Masterdata!$B$4&lt;$E36),
AND(Masterdata!$B$3&lt;&gt;DATE(1900,1,0),Masterdata!$B$3&gt;$E36)
),"0:00",
IF(
$I36&gt;TIME(0,0,0),
IF(
NOT(OR($C36="mandag",$C36="tirsdag",$C36="onsdag",$C36="torsdag",$C36="fredag")),
TEXT($I36,"[tt]:mm"),
IF($I36-$G36&gt;=0,TEXT($I36-$G36,"[tt]:mm"),"-"&amp;TEXT(ABS($I36-$G36),"[tt]:mm"))
),
IF(
NOT(OR($C36="mandag",$C36="tirsdag",$C36="onsdag",$C36="torsdag",$C36="fredag")),
IF($K36-$J36&gt;=0,TEXT($K36-$J36,"[tt]:mm"),"-"&amp;TEXT(ABS($K36-$J36),"[tt]:mm")),
IF(
$K36-$J36-$G36&gt;=0,
TEXT($K36-$J36-$G36,"[tt]:mm"),
"-"&amp;TEXT(ABS($K36-$J36-$G36),"[tt]:mm")
)
)
)
))</f>
        <v>0:00</v>
      </c>
      <c r="N36" s="71" t="str">
        <f t="shared" si="13"/>
        <v>0</v>
      </c>
      <c r="O36" s="25" t="str">
        <f t="shared" si="5"/>
        <v>0:</v>
      </c>
      <c r="P36" s="52" t="str">
        <f t="shared" si="6"/>
        <v>0</v>
      </c>
      <c r="Q36" s="53">
        <f t="shared" si="10"/>
        <v>0</v>
      </c>
      <c r="R36" s="30">
        <f t="shared" si="14"/>
        <v>0</v>
      </c>
      <c r="S36" s="98"/>
      <c r="T36" s="98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</row>
    <row r="37" spans="1:45" x14ac:dyDescent="0.3">
      <c r="A37" s="7">
        <f t="shared" si="2"/>
        <v>31</v>
      </c>
      <c r="B37" s="8">
        <f t="shared" si="9"/>
        <v>46232</v>
      </c>
      <c r="C37" s="9" t="str" cm="1">
        <f t="array" ref="C37">_xlfn.XLOOKUP(E37,Masterdata!$B$31:$B$44,Masterdata!$A$31:$A$44,_xlfn.SWITCH(WEEKDAY($D37, 2), 1, "mandag", 2, "tirsdag", 3, "onsdag", 4, "torsdag", 5, "fredag", 6, "lørdag", 7, "søndag"),0)</f>
        <v>onsdag</v>
      </c>
      <c r="D37" s="29">
        <f t="shared" si="0"/>
        <v>4</v>
      </c>
      <c r="E37" s="70">
        <f t="shared" si="3"/>
        <v>46232</v>
      </c>
      <c r="F37" s="10" t="s">
        <v>23</v>
      </c>
      <c r="G37" s="12">
        <f>IF(OR(AND(F37="N",NOT(OR(C37="mandag",C37="tirsdag",C37="onsdag",C37="torsdag",C37="fredag"))),F37="F"),0,
        IF(OR(
            AND(Masterdata!$B$4&lt;&gt;DATE(1900,1,0), Masterdata!$B$4&lt;$E37),
            AND(Masterdata!$B$3&lt;&gt;DATE(1900,1,0), Masterdata!$B$3&gt;$E37)
        ),
        0, $X$7/(5-H37)))</f>
        <v>0.30833333333333335</v>
      </c>
      <c r="H37" s="86">
        <f>SUMPRODUCT(COUNTIFS(Juni!$A$9:$A$39,$A37,Juni!$D$9:$D$39,"&lt;7",Juni!$F$9:$F$39,"F")+COUNTIFS($A$9:$A$38,$A37,$D$9:$D$38,"&lt;7",$F$9:$F$38,"F")+COUNTIFS(August!$A$9:$A$39,$A37,August!$D$9:$D$39,"&lt;7",August!$F$9:$F$39,"F"))</f>
        <v>0</v>
      </c>
      <c r="I37" s="11">
        <v>0</v>
      </c>
      <c r="J37" s="11">
        <v>0</v>
      </c>
      <c r="K37" s="11">
        <v>0</v>
      </c>
      <c r="L37" s="26" t="str">
        <f t="shared" si="12"/>
        <v>07:24</v>
      </c>
      <c r="M37" s="26" t="str">
        <f>IF(OR(F37="N",F37="F"),"0:00",
IF(
OR(
AND(Masterdata!$B$4&lt;&gt;DATE(1900,1,0),Masterdata!$B$4&lt;$E37),
AND(Masterdata!$B$3&lt;&gt;DATE(1900,1,0),Masterdata!$B$3&gt;$E37)
),"0:00",
IF(
$I37&gt;TIME(0,0,0),
IF(
NOT(OR($C37="mandag",$C37="tirsdag",$C37="onsdag",$C37="torsdag",$C37="fredag")),
TEXT($I37,"[tt]:mm"),
IF($I37-$G37&gt;=0,TEXT($I37-$G37,"[tt]:mm"),"-"&amp;TEXT(ABS($I37-$G37),"[tt]:mm"))
),
IF(
NOT(OR($C37="mandag",$C37="tirsdag",$C37="onsdag",$C37="torsdag",$C37="fredag")),
IF($K37-$J37&gt;=0,TEXT($K37-$J37,"[tt]:mm"),"-"&amp;TEXT(ABS($K37-$J37),"[tt]:mm")),
IF(
$K37-$J37-$G37&gt;=0,
TEXT($K37-$J37-$G37,"[tt]:mm"),
"-"&amp;TEXT(ABS($K37-$J37-$G37),"[tt]:mm")
)
)
)
))</f>
        <v>0:00</v>
      </c>
      <c r="N37" s="71" t="str">
        <f t="shared" ref="N37:N39" si="15">LEFT(M37,1)</f>
        <v>0</v>
      </c>
      <c r="O37" s="25" t="str">
        <f t="shared" si="5"/>
        <v>0:</v>
      </c>
      <c r="P37" s="52" t="str">
        <f t="shared" si="6"/>
        <v>0</v>
      </c>
      <c r="Q37" s="53">
        <f t="shared" ref="Q37:Q39" si="16">P37/60</f>
        <v>0</v>
      </c>
      <c r="R37" s="30">
        <f t="shared" ref="R37:R39" si="17">IF(N37="-",O37-Q37,O37+Q37)</f>
        <v>0</v>
      </c>
      <c r="S37" s="98"/>
      <c r="T37" s="98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</row>
    <row r="38" spans="1:45" x14ac:dyDescent="0.3">
      <c r="A38" s="7">
        <f t="shared" si="2"/>
        <v>31</v>
      </c>
      <c r="B38" s="8">
        <f t="shared" si="9"/>
        <v>46233</v>
      </c>
      <c r="C38" s="9" t="str" cm="1">
        <f t="array" ref="C38">_xlfn.XLOOKUP(E38,Masterdata!$B$31:$B$44,Masterdata!$A$31:$A$44,_xlfn.SWITCH(WEEKDAY($D38, 2), 1, "mandag", 2, "tirsdag", 3, "onsdag", 4, "torsdag", 5, "fredag", 6, "lørdag", 7, "søndag"),0)</f>
        <v>torsdag</v>
      </c>
      <c r="D38" s="29">
        <f t="shared" si="0"/>
        <v>5</v>
      </c>
      <c r="E38" s="70">
        <f t="shared" si="3"/>
        <v>46233</v>
      </c>
      <c r="F38" s="10" t="s">
        <v>23</v>
      </c>
      <c r="G38" s="12">
        <f>IF(OR(AND(F38="N",NOT(OR(C38="mandag",C38="tirsdag",C38="onsdag",C38="torsdag",C38="fredag"))),F38="F"),0,
        IF(OR(
            AND(Masterdata!$B$4&lt;&gt;DATE(1900,1,0), Masterdata!$B$4&lt;$E38),
            AND(Masterdata!$B$3&lt;&gt;DATE(1900,1,0), Masterdata!$B$3&gt;$E38)
        ),
        0, $X$7/(5-H38)))</f>
        <v>0.30833333333333335</v>
      </c>
      <c r="H38" s="86">
        <f>SUMPRODUCT(COUNTIFS(Juni!$A$9:$A$39,$A38,Juni!$D$9:$D$39,"&lt;7",Juni!$F$9:$F$39,"F")+COUNTIFS($A$9:$A$38,$A38,$D$9:$D$38,"&lt;7",$F$9:$F$38,"F")+COUNTIFS(August!$A$9:$A$39,$A38,August!$D$9:$D$39,"&lt;7",August!$F$9:$F$39,"F"))</f>
        <v>0</v>
      </c>
      <c r="I38" s="11">
        <v>0</v>
      </c>
      <c r="J38" s="11">
        <v>0</v>
      </c>
      <c r="K38" s="11">
        <v>0</v>
      </c>
      <c r="L38" s="26" t="str">
        <f t="shared" si="12"/>
        <v>07:24</v>
      </c>
      <c r="M38" s="26" t="str">
        <f>IF(OR(F38="N",F38="F"),"0:00",
IF(
OR(
AND(Masterdata!$B$4&lt;&gt;DATE(1900,1,0),Masterdata!$B$4&lt;$E38),
AND(Masterdata!$B$3&lt;&gt;DATE(1900,1,0),Masterdata!$B$3&gt;$E38)
),"0:00",
IF(
$I38&gt;TIME(0,0,0),
IF(
NOT(OR($C38="mandag",$C38="tirsdag",$C38="onsdag",$C38="torsdag",$C38="fredag")),
TEXT($I38,"[tt]:mm"),
IF($I38-$G38&gt;=0,TEXT($I38-$G38,"[tt]:mm"),"-"&amp;TEXT(ABS($I38-$G38),"[tt]:mm"))
),
IF(
NOT(OR($C38="mandag",$C38="tirsdag",$C38="onsdag",$C38="torsdag",$C38="fredag")),
IF($K38-$J38&gt;=0,TEXT($K38-$J38,"[tt]:mm"),"-"&amp;TEXT(ABS($K38-$J38),"[tt]:mm")),
IF(
$K38-$J38-$G38&gt;=0,
TEXT($K38-$J38-$G38,"[tt]:mm"),
"-"&amp;TEXT(ABS($K38-$J38-$G38),"[tt]:mm")
)
)
)
))</f>
        <v>0:00</v>
      </c>
      <c r="N38" s="71" t="str">
        <f t="shared" si="15"/>
        <v>0</v>
      </c>
      <c r="O38" s="25" t="str">
        <f t="shared" si="5"/>
        <v>0:</v>
      </c>
      <c r="P38" s="52" t="str">
        <f t="shared" si="6"/>
        <v>0</v>
      </c>
      <c r="Q38" s="53">
        <f t="shared" si="16"/>
        <v>0</v>
      </c>
      <c r="R38" s="30">
        <f t="shared" si="17"/>
        <v>0</v>
      </c>
      <c r="S38" s="98"/>
      <c r="T38" s="98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</row>
    <row r="39" spans="1:45" x14ac:dyDescent="0.3">
      <c r="A39" s="7">
        <f t="shared" si="2"/>
        <v>31</v>
      </c>
      <c r="B39" s="8">
        <f t="shared" si="9"/>
        <v>46234</v>
      </c>
      <c r="C39" s="9" t="str" cm="1">
        <f t="array" ref="C39">_xlfn.XLOOKUP(E39,Masterdata!$B$31:$B$44,Masterdata!$A$31:$A$44,_xlfn.SWITCH(WEEKDAY($D39, 2), 1, "mandag", 2, "tirsdag", 3, "onsdag", 4, "torsdag", 5, "fredag", 6, "lørdag", 7, "søndag"),0)</f>
        <v>fredag</v>
      </c>
      <c r="D39" s="29">
        <f t="shared" si="0"/>
        <v>6</v>
      </c>
      <c r="E39" s="70">
        <f t="shared" si="3"/>
        <v>46234</v>
      </c>
      <c r="F39" s="10" t="s">
        <v>23</v>
      </c>
      <c r="G39" s="12">
        <f>IF(OR(AND(F39="N",NOT(OR(C39="mandag",C39="tirsdag",C39="onsdag",C39="torsdag",C39="fredag"))),F39="F"),0,
        IF(OR(
            AND(Masterdata!$B$4&lt;&gt;DATE(1900,1,0), Masterdata!$B$4&lt;$E39),
            AND(Masterdata!$B$3&lt;&gt;DATE(1900,1,0), Masterdata!$B$3&gt;$E39)
        ),
        0, $X$7/(5-H39)))</f>
        <v>0.30833333333333335</v>
      </c>
      <c r="H39" s="86">
        <f>SUMPRODUCT(COUNTIFS(Juni!$A$9:$A$39,$A39,Juni!$D$9:$D$39,"&lt;7",Juni!$F$9:$F$39,"F")+COUNTIFS($A$9:$A$38,$A39,$D$9:$D$38,"&lt;7",$F$9:$F$38,"F")+COUNTIFS(August!$A$9:$A$39,$A39,August!$D$9:$D$39,"&lt;7",August!$F$9:$F$39,"F"))</f>
        <v>0</v>
      </c>
      <c r="I39" s="11">
        <v>0</v>
      </c>
      <c r="J39" s="11">
        <v>0</v>
      </c>
      <c r="K39" s="11">
        <v>0</v>
      </c>
      <c r="L39" s="26" t="str">
        <f t="shared" si="12"/>
        <v>07:24</v>
      </c>
      <c r="M39" s="26" t="str">
        <f>IF(OR(F39="N",F39="F"),"0:00",
IF(
OR(
AND(Masterdata!$B$4&lt;&gt;DATE(1900,1,0),Masterdata!$B$4&lt;$E39),
AND(Masterdata!$B$3&lt;&gt;DATE(1900,1,0),Masterdata!$B$3&gt;$E39)
),"0:00",
IF(
$I39&gt;TIME(0,0,0),
IF(
NOT(OR($C39="mandag",$C39="tirsdag",$C39="onsdag",$C39="torsdag",$C39="fredag")),
TEXT($I39,"[tt]:mm"),
IF($I39-$G39&gt;=0,TEXT($I39-$G39,"[tt]:mm"),"-"&amp;TEXT(ABS($I39-$G39),"[tt]:mm"))
),
IF(
NOT(OR($C39="mandag",$C39="tirsdag",$C39="onsdag",$C39="torsdag",$C39="fredag")),
IF($K39-$J39&gt;=0,TEXT($K39-$J39,"[tt]:mm"),"-"&amp;TEXT(ABS($K39-$J39),"[tt]:mm")),
IF(
$K39-$J39-$G39&gt;=0,
TEXT($K39-$J39-$G39,"[tt]:mm"),
"-"&amp;TEXT(ABS($K39-$J39-$G39),"[tt]:mm")
)
)
)
))</f>
        <v>0:00</v>
      </c>
      <c r="N39" s="71" t="str">
        <f t="shared" si="15"/>
        <v>0</v>
      </c>
      <c r="O39" s="25" t="str">
        <f t="shared" si="5"/>
        <v>0:</v>
      </c>
      <c r="P39" s="52" t="str">
        <f t="shared" si="6"/>
        <v>0</v>
      </c>
      <c r="Q39" s="53">
        <f t="shared" si="16"/>
        <v>0</v>
      </c>
      <c r="R39" s="30">
        <f t="shared" si="17"/>
        <v>0</v>
      </c>
      <c r="S39" s="98"/>
      <c r="T39" s="98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</row>
    <row r="40" spans="1:45" x14ac:dyDescent="0.3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73"/>
      <c r="N40" s="29"/>
      <c r="O40" s="29"/>
      <c r="P40" s="29"/>
      <c r="Q40" s="29"/>
      <c r="R40" s="30">
        <f>SUM(R9:R39)</f>
        <v>0</v>
      </c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</row>
    <row r="41" spans="1:45" x14ac:dyDescent="0.3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</row>
    <row r="42" spans="1:45" x14ac:dyDescent="0.3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</row>
    <row r="43" spans="1:45" x14ac:dyDescent="0.3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</row>
    <row r="44" spans="1:45" x14ac:dyDescent="0.3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</row>
    <row r="45" spans="1:45" x14ac:dyDescent="0.3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</row>
    <row r="46" spans="1:45" x14ac:dyDescent="0.3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</row>
    <row r="47" spans="1:45" x14ac:dyDescent="0.3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</row>
    <row r="48" spans="1:45" x14ac:dyDescent="0.3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</row>
    <row r="49" spans="1:45" x14ac:dyDescent="0.3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</row>
    <row r="50" spans="1:45" x14ac:dyDescent="0.3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</row>
    <row r="51" spans="1:45" x14ac:dyDescent="0.3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</row>
    <row r="52" spans="1:45" x14ac:dyDescent="0.3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</row>
    <row r="53" spans="1:45" x14ac:dyDescent="0.3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</row>
    <row r="54" spans="1:45" x14ac:dyDescent="0.3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</row>
    <row r="55" spans="1:45" x14ac:dyDescent="0.3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</row>
    <row r="56" spans="1:45" x14ac:dyDescent="0.3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</row>
    <row r="57" spans="1:45" x14ac:dyDescent="0.3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</row>
    <row r="58" spans="1:45" x14ac:dyDescent="0.3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</row>
    <row r="59" spans="1:45" x14ac:dyDescent="0.3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</row>
    <row r="60" spans="1:45" x14ac:dyDescent="0.3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</row>
    <row r="61" spans="1:45" x14ac:dyDescent="0.3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</row>
    <row r="62" spans="1:45" x14ac:dyDescent="0.3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</row>
    <row r="63" spans="1:45" x14ac:dyDescent="0.3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</row>
    <row r="64" spans="1:45" x14ac:dyDescent="0.3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</row>
    <row r="65" spans="1:45" x14ac:dyDescent="0.3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</row>
    <row r="66" spans="1:45" x14ac:dyDescent="0.3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</row>
    <row r="67" spans="1:45" x14ac:dyDescent="0.3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</row>
    <row r="68" spans="1:45" x14ac:dyDescent="0.3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</row>
    <row r="69" spans="1:45" x14ac:dyDescent="0.3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</row>
    <row r="70" spans="1:45" x14ac:dyDescent="0.3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</row>
    <row r="71" spans="1:45" x14ac:dyDescent="0.3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</row>
    <row r="72" spans="1:45" x14ac:dyDescent="0.3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</row>
    <row r="73" spans="1:45" x14ac:dyDescent="0.3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</row>
    <row r="74" spans="1:45" x14ac:dyDescent="0.3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</row>
    <row r="75" spans="1:45" x14ac:dyDescent="0.3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</row>
    <row r="76" spans="1:45" x14ac:dyDescent="0.3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</row>
    <row r="77" spans="1:45" x14ac:dyDescent="0.3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</row>
    <row r="78" spans="1:45" x14ac:dyDescent="0.3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</row>
  </sheetData>
  <sheetProtection algorithmName="SHA-512" hashValue="GTimcR+vawvAOH1wTnM8s0dtaVcRPV+4y1RufJLcIk3gnOSpuScYnbyjkpoL6ULb23qA2Hg7ujYWxmabfe5qLA==" saltValue="J2rWdutVV00dB3ySDTug+A==" spinCount="100000" sheet="1" objects="1" scenarios="1"/>
  <mergeCells count="37">
    <mergeCell ref="S14:T14"/>
    <mergeCell ref="S2:T2"/>
    <mergeCell ref="S3:T3"/>
    <mergeCell ref="S4:T4"/>
    <mergeCell ref="S5:T5"/>
    <mergeCell ref="S6:T6"/>
    <mergeCell ref="S8:T8"/>
    <mergeCell ref="S9:T9"/>
    <mergeCell ref="S10:T10"/>
    <mergeCell ref="S11:T11"/>
    <mergeCell ref="S12:T12"/>
    <mergeCell ref="S13:T13"/>
    <mergeCell ref="S26:T26"/>
    <mergeCell ref="S15:T15"/>
    <mergeCell ref="S16:T16"/>
    <mergeCell ref="S17:T17"/>
    <mergeCell ref="S18:T18"/>
    <mergeCell ref="S19:T19"/>
    <mergeCell ref="S20:T20"/>
    <mergeCell ref="S21:T21"/>
    <mergeCell ref="S22:T22"/>
    <mergeCell ref="S23:T23"/>
    <mergeCell ref="S24:T24"/>
    <mergeCell ref="S25:T25"/>
    <mergeCell ref="S39:T39"/>
    <mergeCell ref="S37:T37"/>
    <mergeCell ref="S27:T27"/>
    <mergeCell ref="S28:T28"/>
    <mergeCell ref="S29:T29"/>
    <mergeCell ref="S30:T30"/>
    <mergeCell ref="S31:T31"/>
    <mergeCell ref="S32:T32"/>
    <mergeCell ref="S33:T33"/>
    <mergeCell ref="S34:T34"/>
    <mergeCell ref="S35:T35"/>
    <mergeCell ref="S36:T36"/>
    <mergeCell ref="S38:T38"/>
  </mergeCells>
  <conditionalFormatting sqref="A9:H39">
    <cfRule type="expression" dxfId="29" priority="1">
      <formula>$F9="F"</formula>
    </cfRule>
    <cfRule type="expression" dxfId="28" priority="3">
      <formula>OR(NOT(OR($C9="mandag", $C9="tirsdag",$C9="onsdag",$C9="torsdag",$C9="fredag")),$F9="F")</formula>
    </cfRule>
  </conditionalFormatting>
  <conditionalFormatting sqref="G9:H39">
    <cfRule type="expression" dxfId="27" priority="5">
      <formula>AND($F9="N", (OR($C9="mandag", $C9="tirsdag",$C9="onsdag",$C9="torsdag",$C9="fredag")))</formula>
    </cfRule>
  </conditionalFormatting>
  <conditionalFormatting sqref="I9:K39">
    <cfRule type="expression" dxfId="26" priority="2">
      <formula>OR($F9="N",$F9="F")</formula>
    </cfRule>
    <cfRule type="expression" dxfId="25" priority="4">
      <formula>$F9="R"</formula>
    </cfRule>
  </conditionalFormatting>
  <dataValidations count="2">
    <dataValidation type="list" allowBlank="1" showInputMessage="1" showErrorMessage="1" sqref="F9:F39" xr:uid="{8037184B-4816-4B72-A8CC-EA53F55807B1}">
      <formula1>IF($B$2,$M$3:$M$5,$M$4:$M$5)</formula1>
    </dataValidation>
    <dataValidation type="time" allowBlank="1" showInputMessage="1" showErrorMessage="1" sqref="I9:K39" xr:uid="{0971CF31-AB76-4FA6-B50B-6ECF222E9AA3}">
      <formula1>0</formula1>
      <formula2>0.999305555555556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DC416-42C8-4361-B118-A80017C433D6}">
  <dimension ref="A1:AS78"/>
  <sheetViews>
    <sheetView zoomScale="70" zoomScaleNormal="70" workbookViewId="0">
      <selection activeCell="I5" sqref="I5"/>
    </sheetView>
  </sheetViews>
  <sheetFormatPr defaultRowHeight="14.4" outlineLevelCol="1" x14ac:dyDescent="0.3"/>
  <cols>
    <col min="1" max="1" width="15.5546875" customWidth="1"/>
    <col min="2" max="2" width="14.109375" customWidth="1"/>
    <col min="3" max="3" width="16.6640625" customWidth="1"/>
    <col min="4" max="4" width="15" hidden="1" customWidth="1"/>
    <col min="5" max="5" width="12.88671875" hidden="1" customWidth="1"/>
    <col min="6" max="6" width="13.5546875" bestFit="1" customWidth="1"/>
    <col min="7" max="7" width="16.33203125" bestFit="1" customWidth="1"/>
    <col min="8" max="8" width="24.109375" hidden="1" customWidth="1"/>
    <col min="9" max="9" width="17.88671875" customWidth="1"/>
    <col min="10" max="11" width="11.33203125" customWidth="1"/>
    <col min="12" max="12" width="18.6640625" customWidth="1"/>
    <col min="13" max="13" width="11.5546875" customWidth="1"/>
    <col min="14" max="15" width="11.109375" hidden="1" customWidth="1" outlineLevel="1"/>
    <col min="16" max="16" width="7.6640625" hidden="1" customWidth="1" outlineLevel="1"/>
    <col min="17" max="18" width="7.5546875" hidden="1" customWidth="1" outlineLevel="1"/>
    <col min="19" max="19" width="53.44140625" customWidth="1" collapsed="1"/>
    <col min="20" max="20" width="29.44140625" customWidth="1"/>
    <col min="21" max="21" width="9.109375" hidden="1" customWidth="1" outlineLevel="1"/>
    <col min="22" max="22" width="24.6640625" hidden="1" customWidth="1" outlineLevel="1"/>
    <col min="23" max="23" width="43" hidden="1" customWidth="1" outlineLevel="1"/>
    <col min="24" max="24" width="14" hidden="1" customWidth="1" outlineLevel="1"/>
    <col min="25" max="25" width="19.44140625" customWidth="1" outlineLevel="1"/>
  </cols>
  <sheetData>
    <row r="1" spans="1:45" ht="16.5" customHeight="1" thickBot="1" x14ac:dyDescent="0.35">
      <c r="A1" s="14" t="s">
        <v>102</v>
      </c>
      <c r="B1" s="15">
        <v>37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</row>
    <row r="2" spans="1:45" ht="36" customHeight="1" x14ac:dyDescent="0.3">
      <c r="A2" s="39" t="s">
        <v>130</v>
      </c>
      <c r="B2" s="91" t="b">
        <v>0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48" t="s">
        <v>21</v>
      </c>
      <c r="N2" s="67"/>
      <c r="O2" s="67"/>
      <c r="P2" s="67"/>
      <c r="Q2" s="67"/>
      <c r="R2" s="67"/>
      <c r="S2" s="99" t="s">
        <v>22</v>
      </c>
      <c r="T2" s="100"/>
      <c r="U2" s="45"/>
      <c r="W2" s="45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</row>
    <row r="3" spans="1:45" ht="33.75" customHeight="1" x14ac:dyDescent="0.3">
      <c r="A3" s="38" t="s">
        <v>59</v>
      </c>
      <c r="B3" s="68" t="str">
        <f ca="1">Masterdata!$D$27</f>
        <v>00:00</v>
      </c>
      <c r="C3" s="46"/>
      <c r="D3" s="29"/>
      <c r="E3" s="29"/>
      <c r="F3" s="29"/>
      <c r="G3" s="29"/>
      <c r="H3" s="29"/>
      <c r="I3" s="29"/>
      <c r="J3" s="29"/>
      <c r="K3" s="88"/>
      <c r="L3" s="46"/>
      <c r="M3" s="89" t="s">
        <v>49</v>
      </c>
      <c r="N3" s="29"/>
      <c r="O3" s="29"/>
      <c r="P3" s="29"/>
      <c r="Q3" s="29"/>
      <c r="R3" s="29"/>
      <c r="S3" s="101" t="s">
        <v>131</v>
      </c>
      <c r="T3" s="102"/>
      <c r="U3" s="45"/>
      <c r="V3" s="45"/>
      <c r="W3" s="45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</row>
    <row r="4" spans="1:45" ht="28.8" x14ac:dyDescent="0.3">
      <c r="A4" s="39" t="s">
        <v>63</v>
      </c>
      <c r="B4" s="68" t="str">
        <f>IF(R40&lt;0,"-"&amp;TEXT(ABS(R40/24),"[tt]:mm"),TEXT(R40/24,"[tt]:mm"))</f>
        <v>00:00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35" t="s">
        <v>23</v>
      </c>
      <c r="N4" s="29"/>
      <c r="O4" s="29"/>
      <c r="P4" s="29"/>
      <c r="Q4" s="29"/>
      <c r="R4" s="29"/>
      <c r="S4" s="101" t="s">
        <v>24</v>
      </c>
      <c r="T4" s="102"/>
      <c r="U4" s="46"/>
      <c r="V4" s="46"/>
      <c r="W4" s="46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</row>
    <row r="5" spans="1:45" ht="59.1" customHeight="1" x14ac:dyDescent="0.3">
      <c r="A5" s="17" t="s">
        <v>2</v>
      </c>
      <c r="B5" s="40">
        <f>Masterdata!$B$5</f>
        <v>2026</v>
      </c>
      <c r="C5" s="29"/>
      <c r="D5" s="29"/>
      <c r="E5" s="29"/>
      <c r="F5" s="29"/>
      <c r="G5" s="29"/>
      <c r="H5" s="29"/>
      <c r="I5" s="29"/>
      <c r="J5" s="29"/>
      <c r="K5" s="29"/>
      <c r="L5" s="29"/>
      <c r="M5" s="35" t="s">
        <v>25</v>
      </c>
      <c r="N5" s="29"/>
      <c r="O5" s="29"/>
      <c r="P5" s="29"/>
      <c r="Q5" s="29"/>
      <c r="R5" s="29"/>
      <c r="S5" s="103" t="s">
        <v>120</v>
      </c>
      <c r="T5" s="104"/>
      <c r="U5" s="47"/>
      <c r="V5" s="47"/>
      <c r="W5" s="47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</row>
    <row r="6" spans="1:45" ht="15" thickBot="1" x14ac:dyDescent="0.35">
      <c r="A6" s="13" t="s">
        <v>20</v>
      </c>
      <c r="B6" s="18">
        <f>B9</f>
        <v>46235</v>
      </c>
      <c r="C6" s="29"/>
      <c r="D6" s="29"/>
      <c r="E6" s="29"/>
      <c r="F6" s="29"/>
      <c r="G6" s="29"/>
      <c r="H6" s="29"/>
      <c r="I6" s="29"/>
      <c r="J6" s="29"/>
      <c r="K6" s="29"/>
      <c r="L6" s="29"/>
      <c r="M6" s="36" t="s">
        <v>26</v>
      </c>
      <c r="N6" s="69"/>
      <c r="O6" s="69"/>
      <c r="P6" s="69"/>
      <c r="Q6" s="69"/>
      <c r="R6" s="69"/>
      <c r="S6" s="105" t="s">
        <v>27</v>
      </c>
      <c r="T6" s="106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</row>
    <row r="7" spans="1:45" ht="15" thickBot="1" x14ac:dyDescent="0.35">
      <c r="A7" s="29"/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87">
        <f>$B$1/24</f>
        <v>1.5416666666666667</v>
      </c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</row>
    <row r="8" spans="1:45" ht="21.75" customHeight="1" thickBot="1" x14ac:dyDescent="0.35">
      <c r="A8" s="4" t="s">
        <v>28</v>
      </c>
      <c r="B8" s="5" t="s">
        <v>29</v>
      </c>
      <c r="C8" s="5" t="s">
        <v>30</v>
      </c>
      <c r="D8" s="5" t="s">
        <v>31</v>
      </c>
      <c r="E8" s="5" t="s">
        <v>32</v>
      </c>
      <c r="F8" s="5" t="s">
        <v>21</v>
      </c>
      <c r="G8" s="5" t="s">
        <v>102</v>
      </c>
      <c r="H8" s="5" t="s">
        <v>129</v>
      </c>
      <c r="I8" s="5" t="s">
        <v>33</v>
      </c>
      <c r="J8" s="6" t="s">
        <v>34</v>
      </c>
      <c r="K8" s="6" t="s">
        <v>35</v>
      </c>
      <c r="L8" s="6" t="s">
        <v>103</v>
      </c>
      <c r="M8" s="5" t="s">
        <v>36</v>
      </c>
      <c r="N8" s="22" t="s">
        <v>37</v>
      </c>
      <c r="O8" s="23" t="s">
        <v>38</v>
      </c>
      <c r="P8" s="23" t="s">
        <v>39</v>
      </c>
      <c r="Q8" s="23"/>
      <c r="R8" s="29"/>
      <c r="S8" s="107" t="s">
        <v>40</v>
      </c>
      <c r="T8" s="108"/>
      <c r="U8" s="29"/>
      <c r="V8" s="29"/>
      <c r="W8" s="29" t="s">
        <v>41</v>
      </c>
      <c r="X8" s="29">
        <v>5</v>
      </c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</row>
    <row r="9" spans="1:45" x14ac:dyDescent="0.3">
      <c r="A9" s="7">
        <f>WEEKNUM($B9,21)</f>
        <v>31</v>
      </c>
      <c r="B9" s="8">
        <f>DATE(Masterdata!$B$5,8,1)</f>
        <v>46235</v>
      </c>
      <c r="C9" s="9" t="str" cm="1">
        <f t="array" ref="C9">_xlfn.XLOOKUP(E9,Masterdata!$B$31:$B$44,Masterdata!$A$31:$A$44,_xlfn.SWITCH(WEEKDAY($D9, 2), 1, "mandag", 2, "tirsdag", 3, "onsdag", 4, "torsdag", 5, "fredag", 6, "lørdag", 7, "søndag"),0)</f>
        <v>lørdag</v>
      </c>
      <c r="D9" s="29">
        <f t="shared" ref="D9:D39" si="0">WEEKDAY($B9, 2)+1</f>
        <v>7</v>
      </c>
      <c r="E9" s="70">
        <f>$B9</f>
        <v>46235</v>
      </c>
      <c r="F9" s="10" t="s">
        <v>23</v>
      </c>
      <c r="G9" s="12">
        <f>IF(OR(AND(F9="N",NOT(OR(C9="mandag",C9="tirsdag",C9="onsdag",C9="torsdag",C9="fredag"))),F9="F"),0,
        IF(OR(
            AND(Masterdata!$B$4&lt;&gt;DATE(1900,1,0), Masterdata!$B$4&lt;$E9),
            AND(Masterdata!$B$3&lt;&gt;DATE(1900,1,0), Masterdata!$B$3&gt;$E9)
        ),
        0, $X$7/(5-H9)))</f>
        <v>0</v>
      </c>
      <c r="H9" s="86">
        <f>SUMPRODUCT(COUNTIFS(Juli!$A$9:$A$39,$A9,Juli!$D$9:$D$39,"&lt;7",Juli!$F$9:$F$39,"F")+COUNTIFS($A$9:$A$38,$A9,$D$9:$D$38,"&lt;7",$F$9:$F$38,"F")+COUNTIFS(September!$A$9:$A$39,$A9,September!$D$9:$D$39,"&lt;7",September!$F$9:$F$39,"F"))</f>
        <v>0</v>
      </c>
      <c r="I9" s="11">
        <v>0</v>
      </c>
      <c r="J9" s="11">
        <v>0</v>
      </c>
      <c r="K9" s="11">
        <v>0</v>
      </c>
      <c r="L9" s="26" t="str">
        <f t="shared" ref="L9:L15" si="1">IF($F9="F","00:00",
IF($F9="N",TEXT($G9,"[tt]:mm"),
IF($I9&lt;&gt;0,TEXT($I9,"[tt]:mm"),
IF($K9-$J9&gt;=0,
TEXT($K9-$J9,"[tt]:mm"),
"-"&amp;TEXT(ABS($K9-$J9),"[tt]:mm")))))</f>
        <v>00:00</v>
      </c>
      <c r="M9" s="26" t="str">
        <f>IF(OR(F9="N",F9="F"),"0:00",
IF(
OR(
AND(Masterdata!$B$4&lt;&gt;DATE(1900,1,0),Masterdata!$B$4&lt;$E9),
AND(Masterdata!$B$3&lt;&gt;DATE(1900,1,0),Masterdata!$B$3&gt;$E9)
),"0:00",
IF(
$I9&gt;TIME(0,0,0),
IF(
NOT(OR($C9="mandag",$C9="tirsdag",$C9="onsdag",$C9="torsdag",$C9="fredag")),
TEXT($I9,"[tt]:mm"),
IF($I9-$G9&gt;=0,TEXT($I9-$G9,"[tt]:mm"),"-"&amp;TEXT(ABS($I9-$G9),"[tt]:mm"))
),
IF(
NOT(OR($C9="mandag",$C9="tirsdag",$C9="onsdag",$C9="torsdag",$C9="fredag")),
IF($K9-$J9&gt;=0,TEXT($K9-$J9,"[tt]:mm"),"-"&amp;TEXT(ABS($K9-$J9),"[tt]:mm")),
IF(
$K9-$J9-$G9&gt;=0,
TEXT($K9-$J9-$G9,"[tt]:mm"),
"-"&amp;TEXT(ABS($K9-$J9-$G9),"[tt]:mm")
)
)
)
))</f>
        <v>0:00</v>
      </c>
      <c r="N9" s="71" t="str">
        <f>LEFT(M9,1)</f>
        <v>0</v>
      </c>
      <c r="O9" s="25" t="str">
        <f>IF($N9="-",LEFT($M9,3),LEFT($M9,2))</f>
        <v>0:</v>
      </c>
      <c r="P9" s="52" t="str">
        <f>IF($N9="-",MID($M9,5,2),MID($M9,4,2))</f>
        <v>0</v>
      </c>
      <c r="Q9" s="53">
        <f>P9/60</f>
        <v>0</v>
      </c>
      <c r="R9" s="30">
        <f>IF(N9="-",O9-Q9,O9+Q9)</f>
        <v>0</v>
      </c>
      <c r="S9" s="109"/>
      <c r="T9" s="109"/>
      <c r="U9" s="29"/>
      <c r="V9" s="29"/>
      <c r="W9" s="29" t="s">
        <v>42</v>
      </c>
      <c r="X9" s="72">
        <f>$B$1/X8</f>
        <v>7.4</v>
      </c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</row>
    <row r="10" spans="1:45" x14ac:dyDescent="0.3">
      <c r="A10" s="7">
        <f t="shared" ref="A10:A39" si="2">WEEKNUM($B10,21)</f>
        <v>31</v>
      </c>
      <c r="B10" s="8">
        <f>B9+1</f>
        <v>46236</v>
      </c>
      <c r="C10" s="9" t="str" cm="1">
        <f t="array" ref="C10">_xlfn.XLOOKUP(E10,Masterdata!$B$31:$B$44,Masterdata!$A$31:$A$44,_xlfn.SWITCH(WEEKDAY($D10, 2), 1, "mandag", 2, "tirsdag", 3, "onsdag", 4, "torsdag", 5, "fredag", 6, "lørdag", 7, "søndag"),0)</f>
        <v>søndag</v>
      </c>
      <c r="D10" s="29">
        <f t="shared" si="0"/>
        <v>8</v>
      </c>
      <c r="E10" s="70">
        <f t="shared" ref="E10:E39" si="3">$B10</f>
        <v>46236</v>
      </c>
      <c r="F10" s="10" t="s">
        <v>23</v>
      </c>
      <c r="G10" s="12">
        <f>IF(OR(AND(F10="N",NOT(OR(C10="mandag",C10="tirsdag",C10="onsdag",C10="torsdag",C10="fredag"))),F10="F"),0,
        IF(OR(
            AND(Masterdata!$B$4&lt;&gt;DATE(1900,1,0), Masterdata!$B$4&lt;$E10),
            AND(Masterdata!$B$3&lt;&gt;DATE(1900,1,0), Masterdata!$B$3&gt;$E10)
        ),
        0, $X$7/(5-H10)))</f>
        <v>0</v>
      </c>
      <c r="H10" s="86">
        <f>SUMPRODUCT(COUNTIFS(Juli!$A$9:$A$39,$A10,Juli!$D$9:$D$39,"&lt;7",Juli!$F$9:$F$39,"F")+COUNTIFS($A$9:$A$38,$A10,$D$9:$D$38,"&lt;7",$F$9:$F$38,"F")+COUNTIFS(September!$A$9:$A$39,$A10,September!$D$9:$D$39,"&lt;7",September!$F$9:$F$39,"F"))</f>
        <v>0</v>
      </c>
      <c r="I10" s="11">
        <v>0</v>
      </c>
      <c r="J10" s="11">
        <v>0</v>
      </c>
      <c r="K10" s="11">
        <v>0</v>
      </c>
      <c r="L10" s="26" t="str">
        <f t="shared" si="1"/>
        <v>00:00</v>
      </c>
      <c r="M10" s="26" t="str">
        <f>IF(OR(F10="N",F10="F"),"0:00",
IF(
OR(
AND(Masterdata!$B$4&lt;&gt;DATE(1900,1,0),Masterdata!$B$4&lt;$E10),
AND(Masterdata!$B$3&lt;&gt;DATE(1900,1,0),Masterdata!$B$3&gt;$E10)
),"0:00",
IF(
$I10&gt;TIME(0,0,0),
IF(
NOT(OR($C10="mandag",$C10="tirsdag",$C10="onsdag",$C10="torsdag",$C10="fredag")),
TEXT($I10,"[tt]:mm"),
IF($I10-$G10&gt;=0,TEXT($I10-$G10,"[tt]:mm"),"-"&amp;TEXT(ABS($I10-$G10),"[tt]:mm"))
),
IF(
NOT(OR($C10="mandag",$C10="tirsdag",$C10="onsdag",$C10="torsdag",$C10="fredag")),
IF($K10-$J10&gt;=0,TEXT($K10-$J10,"[tt]:mm"),"-"&amp;TEXT(ABS($K10-$J10),"[tt]:mm")),
IF(
$K10-$J10-$G10&gt;=0,
TEXT($K10-$J10-$G10,"[tt]:mm"),
"-"&amp;TEXT(ABS($K10-$J10-$G10),"[tt]:mm")
)
)
)
))</f>
        <v>0:00</v>
      </c>
      <c r="N10" s="71" t="str">
        <f t="shared" ref="N10:N20" si="4">LEFT(M10,1)</f>
        <v>0</v>
      </c>
      <c r="O10" s="25" t="str">
        <f t="shared" ref="O10:O39" si="5">IF($N10="-",LEFT($M10,3),LEFT($M10,2))</f>
        <v>0:</v>
      </c>
      <c r="P10" s="52" t="str">
        <f t="shared" ref="P10:P39" si="6">IF($N10="-",MID($M10,5,2),MID($M10,4,2))</f>
        <v>0</v>
      </c>
      <c r="Q10" s="53">
        <f t="shared" ref="Q10:Q14" si="7">P10/60</f>
        <v>0</v>
      </c>
      <c r="R10" s="30">
        <f t="shared" ref="R10:R14" si="8">IF(N10="-",O10-Q10,O10+Q10)</f>
        <v>0</v>
      </c>
      <c r="S10" s="109"/>
      <c r="T10" s="109"/>
      <c r="U10" s="29"/>
      <c r="V10" s="29"/>
      <c r="W10" s="29" t="s">
        <v>43</v>
      </c>
      <c r="X10" s="73">
        <f>X9/24</f>
        <v>0.30833333333333335</v>
      </c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</row>
    <row r="11" spans="1:45" x14ac:dyDescent="0.3">
      <c r="A11" s="7">
        <f t="shared" si="2"/>
        <v>32</v>
      </c>
      <c r="B11" s="8">
        <f t="shared" ref="B11:B39" si="9">B10+1</f>
        <v>46237</v>
      </c>
      <c r="C11" s="9" t="str" cm="1">
        <f t="array" ref="C11">_xlfn.XLOOKUP(E11,Masterdata!$B$31:$B$44,Masterdata!$A$31:$A$44,_xlfn.SWITCH(WEEKDAY($D11, 2), 1, "mandag", 2, "tirsdag", 3, "onsdag", 4, "torsdag", 5, "fredag", 6, "lørdag", 7, "søndag"),0)</f>
        <v>mandag</v>
      </c>
      <c r="D11" s="29">
        <f t="shared" si="0"/>
        <v>2</v>
      </c>
      <c r="E11" s="70">
        <f t="shared" si="3"/>
        <v>46237</v>
      </c>
      <c r="F11" s="10" t="s">
        <v>23</v>
      </c>
      <c r="G11" s="12">
        <f>IF(OR(AND(F11="N",NOT(OR(C11="mandag",C11="tirsdag",C11="onsdag",C11="torsdag",C11="fredag"))),F11="F"),0,
        IF(OR(
            AND(Masterdata!$B$4&lt;&gt;DATE(1900,1,0), Masterdata!$B$4&lt;$E11),
            AND(Masterdata!$B$3&lt;&gt;DATE(1900,1,0), Masterdata!$B$3&gt;$E11)
        ),
        0, $X$7/(5-H11)))</f>
        <v>0.30833333333333335</v>
      </c>
      <c r="H11" s="86">
        <f>SUMPRODUCT(COUNTIFS(Juli!$A$9:$A$39,$A11,Juli!$D$9:$D$39,"&lt;7",Juli!$F$9:$F$39,"F")+COUNTIFS($A$9:$A$38,$A11,$D$9:$D$38,"&lt;7",$F$9:$F$38,"F")+COUNTIFS(September!$A$9:$A$39,$A11,September!$D$9:$D$39,"&lt;7",September!$F$9:$F$39,"F"))</f>
        <v>0</v>
      </c>
      <c r="I11" s="11">
        <v>0</v>
      </c>
      <c r="J11" s="11">
        <v>0</v>
      </c>
      <c r="K11" s="11">
        <v>0</v>
      </c>
      <c r="L11" s="26" t="str">
        <f t="shared" si="1"/>
        <v>07:24</v>
      </c>
      <c r="M11" s="26" t="str">
        <f>IF(OR(F11="N",F11="F"),"0:00",
IF(
OR(
AND(Masterdata!$B$4&lt;&gt;DATE(1900,1,0),Masterdata!$B$4&lt;$E11),
AND(Masterdata!$B$3&lt;&gt;DATE(1900,1,0),Masterdata!$B$3&gt;$E11)
),"0:00",
IF(
$I11&gt;TIME(0,0,0),
IF(
NOT(OR($C11="mandag",$C11="tirsdag",$C11="onsdag",$C11="torsdag",$C11="fredag")),
TEXT($I11,"[tt]:mm"),
IF($I11-$G11&gt;=0,TEXT($I11-$G11,"[tt]:mm"),"-"&amp;TEXT(ABS($I11-$G11),"[tt]:mm"))
),
IF(
NOT(OR($C11="mandag",$C11="tirsdag",$C11="onsdag",$C11="torsdag",$C11="fredag")),
IF($K11-$J11&gt;=0,TEXT($K11-$J11,"[tt]:mm"),"-"&amp;TEXT(ABS($K11-$J11),"[tt]:mm")),
IF(
$K11-$J11-$G11&gt;=0,
TEXT($K11-$J11-$G11,"[tt]:mm"),
"-"&amp;TEXT(ABS($K11-$J11-$G11),"[tt]:mm")
)
)
)
))</f>
        <v>0:00</v>
      </c>
      <c r="N11" s="71" t="str">
        <f t="shared" si="4"/>
        <v>0</v>
      </c>
      <c r="O11" s="25" t="str">
        <f t="shared" si="5"/>
        <v>0:</v>
      </c>
      <c r="P11" s="52" t="str">
        <f t="shared" si="6"/>
        <v>0</v>
      </c>
      <c r="Q11" s="53">
        <f t="shared" si="7"/>
        <v>0</v>
      </c>
      <c r="R11" s="30">
        <f t="shared" si="8"/>
        <v>0</v>
      </c>
      <c r="S11" s="109"/>
      <c r="T11" s="109"/>
      <c r="U11" s="29" t="s">
        <v>23</v>
      </c>
      <c r="V11" s="29" t="s">
        <v>44</v>
      </c>
      <c r="W11" s="29" t="s">
        <v>45</v>
      </c>
      <c r="X11" s="30">
        <f>(B1/37)*160.33</f>
        <v>160.33000000000001</v>
      </c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</row>
    <row r="12" spans="1:45" x14ac:dyDescent="0.3">
      <c r="A12" s="7">
        <f t="shared" si="2"/>
        <v>32</v>
      </c>
      <c r="B12" s="8">
        <f t="shared" si="9"/>
        <v>46238</v>
      </c>
      <c r="C12" s="9" t="str" cm="1">
        <f t="array" ref="C12">_xlfn.XLOOKUP(E12,Masterdata!$B$31:$B$44,Masterdata!$A$31:$A$44,_xlfn.SWITCH(WEEKDAY($D12, 2), 1, "mandag", 2, "tirsdag", 3, "onsdag", 4, "torsdag", 5, "fredag", 6, "lørdag", 7, "søndag"),0)</f>
        <v>tirsdag</v>
      </c>
      <c r="D12" s="29">
        <f t="shared" si="0"/>
        <v>3</v>
      </c>
      <c r="E12" s="70">
        <f t="shared" si="3"/>
        <v>46238</v>
      </c>
      <c r="F12" s="10" t="s">
        <v>23</v>
      </c>
      <c r="G12" s="12">
        <f>IF(OR(AND(F12="N",NOT(OR(C12="mandag",C12="tirsdag",C12="onsdag",C12="torsdag",C12="fredag"))),F12="F"),0,
        IF(OR(
            AND(Masterdata!$B$4&lt;&gt;DATE(1900,1,0), Masterdata!$B$4&lt;$E12),
            AND(Masterdata!$B$3&lt;&gt;DATE(1900,1,0), Masterdata!$B$3&gt;$E12)
        ),
        0, $X$7/(5-H12)))</f>
        <v>0.30833333333333335</v>
      </c>
      <c r="H12" s="86">
        <f>SUMPRODUCT(COUNTIFS(Juli!$A$9:$A$39,$A12,Juli!$D$9:$D$39,"&lt;7",Juli!$F$9:$F$39,"F")+COUNTIFS($A$9:$A$38,$A12,$D$9:$D$38,"&lt;7",$F$9:$F$38,"F")+COUNTIFS(September!$A$9:$A$39,$A12,September!$D$9:$D$39,"&lt;7",September!$F$9:$F$39,"F"))</f>
        <v>0</v>
      </c>
      <c r="I12" s="11">
        <v>0</v>
      </c>
      <c r="J12" s="11">
        <v>0</v>
      </c>
      <c r="K12" s="11">
        <v>0</v>
      </c>
      <c r="L12" s="26" t="str">
        <f t="shared" si="1"/>
        <v>07:24</v>
      </c>
      <c r="M12" s="26" t="str">
        <f>IF(OR(F12="N",F12="F"),"0:00",
IF(
OR(
AND(Masterdata!$B$4&lt;&gt;DATE(1900,1,0),Masterdata!$B$4&lt;$E12),
AND(Masterdata!$B$3&lt;&gt;DATE(1900,1,0),Masterdata!$B$3&gt;$E12)
),"0:00",
IF(
$I12&gt;TIME(0,0,0),
IF(
NOT(OR($C12="mandag",$C12="tirsdag",$C12="onsdag",$C12="torsdag",$C12="fredag")),
TEXT($I12,"[tt]:mm"),
IF($I12-$G12&gt;=0,TEXT($I12-$G12,"[tt]:mm"),"-"&amp;TEXT(ABS($I12-$G12),"[tt]:mm"))
),
IF(
NOT(OR($C12="mandag",$C12="tirsdag",$C12="onsdag",$C12="torsdag",$C12="fredag")),
IF($K12-$J12&gt;=0,TEXT($K12-$J12,"[tt]:mm"),"-"&amp;TEXT(ABS($K12-$J12),"[tt]:mm")),
IF(
$K12-$J12-$G12&gt;=0,
TEXT($K12-$J12-$G12,"[tt]:mm"),
"-"&amp;TEXT(ABS($K12-$J12-$G12),"[tt]:mm")
)
)
)
))</f>
        <v>0:00</v>
      </c>
      <c r="N12" s="71" t="str">
        <f t="shared" si="4"/>
        <v>0</v>
      </c>
      <c r="O12" s="25" t="str">
        <f t="shared" si="5"/>
        <v>0:</v>
      </c>
      <c r="P12" s="52" t="str">
        <f t="shared" si="6"/>
        <v>0</v>
      </c>
      <c r="Q12" s="53">
        <f t="shared" si="7"/>
        <v>0</v>
      </c>
      <c r="R12" s="30">
        <f t="shared" si="8"/>
        <v>0</v>
      </c>
      <c r="S12" s="109"/>
      <c r="T12" s="10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</row>
    <row r="13" spans="1:45" x14ac:dyDescent="0.3">
      <c r="A13" s="7">
        <f t="shared" si="2"/>
        <v>32</v>
      </c>
      <c r="B13" s="8">
        <f t="shared" si="9"/>
        <v>46239</v>
      </c>
      <c r="C13" s="9" t="str" cm="1">
        <f t="array" ref="C13">_xlfn.XLOOKUP(E13,Masterdata!$B$31:$B$44,Masterdata!$A$31:$A$44,_xlfn.SWITCH(WEEKDAY($D13, 2), 1, "mandag", 2, "tirsdag", 3, "onsdag", 4, "torsdag", 5, "fredag", 6, "lørdag", 7, "søndag"),0)</f>
        <v>onsdag</v>
      </c>
      <c r="D13" s="29">
        <f t="shared" si="0"/>
        <v>4</v>
      </c>
      <c r="E13" s="70">
        <f t="shared" si="3"/>
        <v>46239</v>
      </c>
      <c r="F13" s="10" t="s">
        <v>23</v>
      </c>
      <c r="G13" s="12">
        <f>IF(OR(AND(F13="N",NOT(OR(C13="mandag",C13="tirsdag",C13="onsdag",C13="torsdag",C13="fredag"))),F13="F"),0,
        IF(OR(
            AND(Masterdata!$B$4&lt;&gt;DATE(1900,1,0), Masterdata!$B$4&lt;$E13),
            AND(Masterdata!$B$3&lt;&gt;DATE(1900,1,0), Masterdata!$B$3&gt;$E13)
        ),
        0, $X$7/(5-H13)))</f>
        <v>0.30833333333333335</v>
      </c>
      <c r="H13" s="86">
        <f>SUMPRODUCT(COUNTIFS(Juli!$A$9:$A$39,$A13,Juli!$D$9:$D$39,"&lt;7",Juli!$F$9:$F$39,"F")+COUNTIFS($A$9:$A$38,$A13,$D$9:$D$38,"&lt;7",$F$9:$F$38,"F")+COUNTIFS(September!$A$9:$A$39,$A13,September!$D$9:$D$39,"&lt;7",September!$F$9:$F$39,"F"))</f>
        <v>0</v>
      </c>
      <c r="I13" s="11">
        <v>0</v>
      </c>
      <c r="J13" s="11">
        <v>0</v>
      </c>
      <c r="K13" s="11">
        <v>0</v>
      </c>
      <c r="L13" s="26" t="str">
        <f t="shared" si="1"/>
        <v>07:24</v>
      </c>
      <c r="M13" s="26" t="str">
        <f>IF(OR(F13="N",F13="F"),"0:00",
IF(
OR(
AND(Masterdata!$B$4&lt;&gt;DATE(1900,1,0),Masterdata!$B$4&lt;$E13),
AND(Masterdata!$B$3&lt;&gt;DATE(1900,1,0),Masterdata!$B$3&gt;$E13)
),"0:00",
IF(
$I13&gt;TIME(0,0,0),
IF(
NOT(OR($C13="mandag",$C13="tirsdag",$C13="onsdag",$C13="torsdag",$C13="fredag")),
TEXT($I13,"[tt]:mm"),
IF($I13-$G13&gt;=0,TEXT($I13-$G13,"[tt]:mm"),"-"&amp;TEXT(ABS($I13-$G13),"[tt]:mm"))
),
IF(
NOT(OR($C13="mandag",$C13="tirsdag",$C13="onsdag",$C13="torsdag",$C13="fredag")),
IF($K13-$J13&gt;=0,TEXT($K13-$J13,"[tt]:mm"),"-"&amp;TEXT(ABS($K13-$J13),"[tt]:mm")),
IF(
$K13-$J13-$G13&gt;=0,
TEXT($K13-$J13-$G13,"[tt]:mm"),
"-"&amp;TEXT(ABS($K13-$J13-$G13),"[tt]:mm")
)
)
)
))</f>
        <v>0:00</v>
      </c>
      <c r="N13" s="71" t="str">
        <f t="shared" si="4"/>
        <v>0</v>
      </c>
      <c r="O13" s="25" t="str">
        <f t="shared" si="5"/>
        <v>0:</v>
      </c>
      <c r="P13" s="52" t="str">
        <f t="shared" si="6"/>
        <v>0</v>
      </c>
      <c r="Q13" s="53">
        <f t="shared" si="7"/>
        <v>0</v>
      </c>
      <c r="R13" s="30">
        <f t="shared" si="8"/>
        <v>0</v>
      </c>
      <c r="S13" s="109"/>
      <c r="T13" s="109"/>
      <c r="U13" s="29"/>
      <c r="V13" s="29"/>
      <c r="W13" s="29"/>
      <c r="X13" s="30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</row>
    <row r="14" spans="1:45" x14ac:dyDescent="0.3">
      <c r="A14" s="7">
        <f t="shared" si="2"/>
        <v>32</v>
      </c>
      <c r="B14" s="8">
        <f t="shared" si="9"/>
        <v>46240</v>
      </c>
      <c r="C14" s="9" t="str" cm="1">
        <f t="array" ref="C14">_xlfn.XLOOKUP(E14,Masterdata!$B$31:$B$44,Masterdata!$A$31:$A$44,_xlfn.SWITCH(WEEKDAY($D14, 2), 1, "mandag", 2, "tirsdag", 3, "onsdag", 4, "torsdag", 5, "fredag", 6, "lørdag", 7, "søndag"),0)</f>
        <v>torsdag</v>
      </c>
      <c r="D14" s="29">
        <f t="shared" si="0"/>
        <v>5</v>
      </c>
      <c r="E14" s="70">
        <f t="shared" si="3"/>
        <v>46240</v>
      </c>
      <c r="F14" s="10" t="s">
        <v>23</v>
      </c>
      <c r="G14" s="12">
        <f>IF(OR(AND(F14="N",NOT(OR(C14="mandag",C14="tirsdag",C14="onsdag",C14="torsdag",C14="fredag"))),F14="F"),0,
        IF(OR(
            AND(Masterdata!$B$4&lt;&gt;DATE(1900,1,0), Masterdata!$B$4&lt;$E14),
            AND(Masterdata!$B$3&lt;&gt;DATE(1900,1,0), Masterdata!$B$3&gt;$E14)
        ),
        0, $X$7/(5-H14)))</f>
        <v>0.30833333333333335</v>
      </c>
      <c r="H14" s="86">
        <f>SUMPRODUCT(COUNTIFS(Juli!$A$9:$A$39,$A14,Juli!$D$9:$D$39,"&lt;7",Juli!$F$9:$F$39,"F")+COUNTIFS($A$9:$A$38,$A14,$D$9:$D$38,"&lt;7",$F$9:$F$38,"F")+COUNTIFS(September!$A$9:$A$39,$A14,September!$D$9:$D$39,"&lt;7",September!$F$9:$F$39,"F"))</f>
        <v>0</v>
      </c>
      <c r="I14" s="11">
        <v>0</v>
      </c>
      <c r="J14" s="11">
        <v>0</v>
      </c>
      <c r="K14" s="11">
        <v>0</v>
      </c>
      <c r="L14" s="26" t="str">
        <f t="shared" si="1"/>
        <v>07:24</v>
      </c>
      <c r="M14" s="26" t="str">
        <f>IF(OR(F14="N",F14="F"),"0:00",
IF(
OR(
AND(Masterdata!$B$4&lt;&gt;DATE(1900,1,0),Masterdata!$B$4&lt;$E14),
AND(Masterdata!$B$3&lt;&gt;DATE(1900,1,0),Masterdata!$B$3&gt;$E14)
),"0:00",
IF(
$I14&gt;TIME(0,0,0),
IF(
NOT(OR($C14="mandag",$C14="tirsdag",$C14="onsdag",$C14="torsdag",$C14="fredag")),
TEXT($I14,"[tt]:mm"),
IF($I14-$G14&gt;=0,TEXT($I14-$G14,"[tt]:mm"),"-"&amp;TEXT(ABS($I14-$G14),"[tt]:mm"))
),
IF(
NOT(OR($C14="mandag",$C14="tirsdag",$C14="onsdag",$C14="torsdag",$C14="fredag")),
IF($K14-$J14&gt;=0,TEXT($K14-$J14,"[tt]:mm"),"-"&amp;TEXT(ABS($K14-$J14),"[tt]:mm")),
IF(
$K14-$J14-$G14&gt;=0,
TEXT($K14-$J14-$G14,"[tt]:mm"),
"-"&amp;TEXT(ABS($K14-$J14-$G14),"[tt]:mm")
)
)
)
))</f>
        <v>0:00</v>
      </c>
      <c r="N14" s="71" t="str">
        <f t="shared" si="4"/>
        <v>0</v>
      </c>
      <c r="O14" s="25" t="str">
        <f t="shared" si="5"/>
        <v>0:</v>
      </c>
      <c r="P14" s="52" t="str">
        <f t="shared" si="6"/>
        <v>0</v>
      </c>
      <c r="Q14" s="53">
        <f t="shared" si="7"/>
        <v>0</v>
      </c>
      <c r="R14" s="30">
        <f t="shared" si="8"/>
        <v>0</v>
      </c>
      <c r="S14" s="98"/>
      <c r="T14" s="98"/>
      <c r="U14" s="29"/>
      <c r="V14" s="29"/>
      <c r="W14" s="29"/>
      <c r="X14" s="74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</row>
    <row r="15" spans="1:45" x14ac:dyDescent="0.3">
      <c r="A15" s="7">
        <f t="shared" si="2"/>
        <v>32</v>
      </c>
      <c r="B15" s="8">
        <f t="shared" si="9"/>
        <v>46241</v>
      </c>
      <c r="C15" s="9" t="str" cm="1">
        <f t="array" ref="C15">_xlfn.XLOOKUP(E15,Masterdata!$B$31:$B$44,Masterdata!$A$31:$A$44,_xlfn.SWITCH(WEEKDAY($D15, 2), 1, "mandag", 2, "tirsdag", 3, "onsdag", 4, "torsdag", 5, "fredag", 6, "lørdag", 7, "søndag"),0)</f>
        <v>fredag</v>
      </c>
      <c r="D15" s="29">
        <f t="shared" si="0"/>
        <v>6</v>
      </c>
      <c r="E15" s="70">
        <f t="shared" si="3"/>
        <v>46241</v>
      </c>
      <c r="F15" s="10" t="s">
        <v>23</v>
      </c>
      <c r="G15" s="12">
        <f>IF(OR(AND(F15="N",NOT(OR(C15="mandag",C15="tirsdag",C15="onsdag",C15="torsdag",C15="fredag"))),F15="F"),0,
        IF(OR(
            AND(Masterdata!$B$4&lt;&gt;DATE(1900,1,0), Masterdata!$B$4&lt;$E15),
            AND(Masterdata!$B$3&lt;&gt;DATE(1900,1,0), Masterdata!$B$3&gt;$E15)
        ),
        0, $X$7/(5-H15)))</f>
        <v>0.30833333333333335</v>
      </c>
      <c r="H15" s="86">
        <f>SUMPRODUCT(COUNTIFS(Juli!$A$9:$A$39,$A15,Juli!$D$9:$D$39,"&lt;7",Juli!$F$9:$F$39,"F")+COUNTIFS($A$9:$A$38,$A15,$D$9:$D$38,"&lt;7",$F$9:$F$38,"F")+COUNTIFS(September!$A$9:$A$39,$A15,September!$D$9:$D$39,"&lt;7",September!$F$9:$F$39,"F"))</f>
        <v>0</v>
      </c>
      <c r="I15" s="11">
        <v>0</v>
      </c>
      <c r="J15" s="11">
        <v>0</v>
      </c>
      <c r="K15" s="11">
        <v>0</v>
      </c>
      <c r="L15" s="26" t="str">
        <f t="shared" si="1"/>
        <v>07:24</v>
      </c>
      <c r="M15" s="26" t="str">
        <f>IF(OR(F15="N",F15="F"),"0:00",
IF(
OR(
AND(Masterdata!$B$4&lt;&gt;DATE(1900,1,0),Masterdata!$B$4&lt;$E15),
AND(Masterdata!$B$3&lt;&gt;DATE(1900,1,0),Masterdata!$B$3&gt;$E15)
),"0:00",
IF(
$I15&gt;TIME(0,0,0),
IF(
NOT(OR($C15="mandag",$C15="tirsdag",$C15="onsdag",$C15="torsdag",$C15="fredag")),
TEXT($I15,"[tt]:mm"),
IF($I15-$G15&gt;=0,TEXT($I15-$G15,"[tt]:mm"),"-"&amp;TEXT(ABS($I15-$G15),"[tt]:mm"))
),
IF(
NOT(OR($C15="mandag",$C15="tirsdag",$C15="onsdag",$C15="torsdag",$C15="fredag")),
IF($K15-$J15&gt;=0,TEXT($K15-$J15,"[tt]:mm"),"-"&amp;TEXT(ABS($K15-$J15),"[tt]:mm")),
IF(
$K15-$J15-$G15&gt;=0,
TEXT($K15-$J15-$G15,"[tt]:mm"),
"-"&amp;TEXT(ABS($K15-$J15-$G15),"[tt]:mm")
)
)
)
))</f>
        <v>0:00</v>
      </c>
      <c r="N15" s="71" t="str">
        <f t="shared" si="4"/>
        <v>0</v>
      </c>
      <c r="O15" s="25" t="str">
        <f t="shared" si="5"/>
        <v>0:</v>
      </c>
      <c r="P15" s="52" t="str">
        <f t="shared" si="6"/>
        <v>0</v>
      </c>
      <c r="Q15" s="53">
        <f>P15/60</f>
        <v>0</v>
      </c>
      <c r="R15" s="30">
        <f>IF(N15="-",O15-Q15,O15+Q15)</f>
        <v>0</v>
      </c>
      <c r="S15" s="98"/>
      <c r="T15" s="98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</row>
    <row r="16" spans="1:45" x14ac:dyDescent="0.3">
      <c r="A16" s="7">
        <f t="shared" si="2"/>
        <v>32</v>
      </c>
      <c r="B16" s="8">
        <f t="shared" si="9"/>
        <v>46242</v>
      </c>
      <c r="C16" s="9" t="str" cm="1">
        <f t="array" ref="C16">_xlfn.XLOOKUP(E16,Masterdata!$B$31:$B$44,Masterdata!$A$31:$A$44,_xlfn.SWITCH(WEEKDAY($D16, 2), 1, "mandag", 2, "tirsdag", 3, "onsdag", 4, "torsdag", 5, "fredag", 6, "lørdag", 7, "søndag"),0)</f>
        <v>lørdag</v>
      </c>
      <c r="D16" s="29">
        <f t="shared" si="0"/>
        <v>7</v>
      </c>
      <c r="E16" s="70">
        <f t="shared" si="3"/>
        <v>46242</v>
      </c>
      <c r="F16" s="10" t="s">
        <v>23</v>
      </c>
      <c r="G16" s="12">
        <f>IF(OR(AND(F16="N",NOT(OR(C16="mandag",C16="tirsdag",C16="onsdag",C16="torsdag",C16="fredag"))),F16="F"),0,
        IF(OR(
            AND(Masterdata!$B$4&lt;&gt;DATE(1900,1,0), Masterdata!$B$4&lt;$E16),
            AND(Masterdata!$B$3&lt;&gt;DATE(1900,1,0), Masterdata!$B$3&gt;$E16)
        ),
        0, $X$7/(5-H16)))</f>
        <v>0</v>
      </c>
      <c r="H16" s="86">
        <f>SUMPRODUCT(COUNTIFS(Juli!$A$9:$A$39,$A16,Juli!$D$9:$D$39,"&lt;7",Juli!$F$9:$F$39,"F")+COUNTIFS($A$9:$A$38,$A16,$D$9:$D$38,"&lt;7",$F$9:$F$38,"F")+COUNTIFS(September!$A$9:$A$39,$A16,September!$D$9:$D$39,"&lt;7",September!$F$9:$F$39,"F"))</f>
        <v>0</v>
      </c>
      <c r="I16" s="11">
        <v>0</v>
      </c>
      <c r="J16" s="11">
        <v>0</v>
      </c>
      <c r="K16" s="11">
        <v>0</v>
      </c>
      <c r="L16" s="26" t="str">
        <f>IF($F16="F","00:00",
IF($F16="N",TEXT($G16,"[tt]:mm"),
IF($I16&lt;&gt;0,TEXT($I16,"[tt]:mm"),
IF($K16-$J16&gt;=0,
TEXT($K16-$J16,"[tt]:mm"),
"-"&amp;TEXT(ABS($K16-$J16),"[tt]:mm")))))</f>
        <v>00:00</v>
      </c>
      <c r="M16" s="26" t="str">
        <f>IF(OR(F16="N",F16="F"),"0:00",
IF(
OR(
AND(Masterdata!$B$4&lt;&gt;DATE(1900,1,0),Masterdata!$B$4&lt;$E16),
AND(Masterdata!$B$3&lt;&gt;DATE(1900,1,0),Masterdata!$B$3&gt;$E16)
),"0:00",
IF(
$I16&gt;TIME(0,0,0),
IF(
NOT(OR($C16="mandag",$C16="tirsdag",$C16="onsdag",$C16="torsdag",$C16="fredag")),
TEXT($I16,"[tt]:mm"),
IF($I16-$G16&gt;=0,TEXT($I16-$G16,"[tt]:mm"),"-"&amp;TEXT(ABS($I16-$G16),"[tt]:mm"))
),
IF(
NOT(OR($C16="mandag",$C16="tirsdag",$C16="onsdag",$C16="torsdag",$C16="fredag")),
IF($K16-$J16&gt;=0,TEXT($K16-$J16,"[tt]:mm"),"-"&amp;TEXT(ABS($K16-$J16),"[tt]:mm")),
IF(
$K16-$J16-$G16&gt;=0,
TEXT($K16-$J16-$G16,"[tt]:mm"),
"-"&amp;TEXT(ABS($K16-$J16-$G16),"[tt]:mm")
)
)
)
))</f>
        <v>0:00</v>
      </c>
      <c r="N16" s="71" t="str">
        <f t="shared" si="4"/>
        <v>0</v>
      </c>
      <c r="O16" s="25" t="str">
        <f t="shared" si="5"/>
        <v>0:</v>
      </c>
      <c r="P16" s="52" t="str">
        <f t="shared" si="6"/>
        <v>0</v>
      </c>
      <c r="Q16" s="53">
        <f t="shared" ref="Q16:Q35" si="10">P16/60</f>
        <v>0</v>
      </c>
      <c r="R16" s="30">
        <f t="shared" ref="R16:R20" si="11">IF(N16="-",O16-Q16,O16+Q16)</f>
        <v>0</v>
      </c>
      <c r="S16" s="98"/>
      <c r="T16" s="98"/>
      <c r="U16" s="29" t="s">
        <v>46</v>
      </c>
      <c r="V16" s="29" t="s">
        <v>47</v>
      </c>
      <c r="W16" s="29" t="s">
        <v>48</v>
      </c>
      <c r="X16" s="30">
        <f>X11-X14</f>
        <v>160.33000000000001</v>
      </c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</row>
    <row r="17" spans="1:45" x14ac:dyDescent="0.3">
      <c r="A17" s="7">
        <f t="shared" si="2"/>
        <v>32</v>
      </c>
      <c r="B17" s="8">
        <f t="shared" si="9"/>
        <v>46243</v>
      </c>
      <c r="C17" s="9" t="str" cm="1">
        <f t="array" ref="C17">_xlfn.XLOOKUP(E17,Masterdata!$B$31:$B$44,Masterdata!$A$31:$A$44,_xlfn.SWITCH(WEEKDAY($D17, 2), 1, "mandag", 2, "tirsdag", 3, "onsdag", 4, "torsdag", 5, "fredag", 6, "lørdag", 7, "søndag"),0)</f>
        <v>søndag</v>
      </c>
      <c r="D17" s="29">
        <f t="shared" si="0"/>
        <v>8</v>
      </c>
      <c r="E17" s="70">
        <f t="shared" si="3"/>
        <v>46243</v>
      </c>
      <c r="F17" s="10" t="s">
        <v>23</v>
      </c>
      <c r="G17" s="12">
        <f>IF(OR(AND(F17="N",NOT(OR(C17="mandag",C17="tirsdag",C17="onsdag",C17="torsdag",C17="fredag"))),F17="F"),0,
        IF(OR(
            AND(Masterdata!$B$4&lt;&gt;DATE(1900,1,0), Masterdata!$B$4&lt;$E17),
            AND(Masterdata!$B$3&lt;&gt;DATE(1900,1,0), Masterdata!$B$3&gt;$E17)
        ),
        0, $X$7/(5-H17)))</f>
        <v>0</v>
      </c>
      <c r="H17" s="86">
        <f>SUMPRODUCT(COUNTIFS(Juli!$A$9:$A$39,$A17,Juli!$D$9:$D$39,"&lt;7",Juli!$F$9:$F$39,"F")+COUNTIFS($A$9:$A$38,$A17,$D$9:$D$38,"&lt;7",$F$9:$F$38,"F")+COUNTIFS(September!$A$9:$A$39,$A17,September!$D$9:$D$39,"&lt;7",September!$F$9:$F$39,"F"))</f>
        <v>0</v>
      </c>
      <c r="I17" s="11">
        <v>0</v>
      </c>
      <c r="J17" s="11">
        <v>0</v>
      </c>
      <c r="K17" s="11">
        <v>0</v>
      </c>
      <c r="L17" s="26" t="str">
        <f t="shared" ref="L17:L39" si="12">IF($F17="F","00:00",
IF($F17="N",TEXT($G17,"[tt]:mm"),
IF($I17&lt;&gt;0,TEXT($I17,"[tt]:mm"),
IF($K17-$J17&gt;=0,
TEXT($K17-$J17,"[tt]:mm"),
"-"&amp;TEXT(ABS($K17-$J17),"[tt]:mm")))))</f>
        <v>00:00</v>
      </c>
      <c r="M17" s="26" t="str">
        <f>IF(OR(F17="N",F17="F"),"0:00",
IF(
OR(
AND(Masterdata!$B$4&lt;&gt;DATE(1900,1,0),Masterdata!$B$4&lt;$E17),
AND(Masterdata!$B$3&lt;&gt;DATE(1900,1,0),Masterdata!$B$3&gt;$E17)
),"0:00",
IF(
$I17&gt;TIME(0,0,0),
IF(
NOT(OR($C17="mandag",$C17="tirsdag",$C17="onsdag",$C17="torsdag",$C17="fredag")),
TEXT($I17,"[tt]:mm"),
IF($I17-$G17&gt;=0,TEXT($I17-$G17,"[tt]:mm"),"-"&amp;TEXT(ABS($I17-$G17),"[tt]:mm"))
),
IF(
NOT(OR($C17="mandag",$C17="tirsdag",$C17="onsdag",$C17="torsdag",$C17="fredag")),
IF($K17-$J17&gt;=0,TEXT($K17-$J17,"[tt]:mm"),"-"&amp;TEXT(ABS($K17-$J17),"[tt]:mm")),
IF(
$K17-$J17-$G17&gt;=0,
TEXT($K17-$J17-$G17,"[tt]:mm"),
"-"&amp;TEXT(ABS($K17-$J17-$G17),"[tt]:mm")
)
)
)
))</f>
        <v>0:00</v>
      </c>
      <c r="N17" s="71" t="str">
        <f t="shared" si="4"/>
        <v>0</v>
      </c>
      <c r="O17" s="25" t="str">
        <f t="shared" si="5"/>
        <v>0:</v>
      </c>
      <c r="P17" s="52" t="str">
        <f t="shared" si="6"/>
        <v>0</v>
      </c>
      <c r="Q17" s="53">
        <f t="shared" si="10"/>
        <v>0</v>
      </c>
      <c r="R17" s="30">
        <f t="shared" si="11"/>
        <v>0</v>
      </c>
      <c r="S17" s="98"/>
      <c r="T17" s="98"/>
      <c r="U17" s="29" t="s">
        <v>49</v>
      </c>
      <c r="V17" s="29" t="s">
        <v>50</v>
      </c>
      <c r="W17" s="29" t="s">
        <v>51</v>
      </c>
      <c r="X17" s="30" t="e">
        <f>SUM(#REF!)</f>
        <v>#REF!</v>
      </c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</row>
    <row r="18" spans="1:45" x14ac:dyDescent="0.3">
      <c r="A18" s="7">
        <f t="shared" si="2"/>
        <v>33</v>
      </c>
      <c r="B18" s="8">
        <f t="shared" si="9"/>
        <v>46244</v>
      </c>
      <c r="C18" s="9" t="str" cm="1">
        <f t="array" ref="C18">_xlfn.XLOOKUP(E18,Masterdata!$B$31:$B$44,Masterdata!$A$31:$A$44,_xlfn.SWITCH(WEEKDAY($D18, 2), 1, "mandag", 2, "tirsdag", 3, "onsdag", 4, "torsdag", 5, "fredag", 6, "lørdag", 7, "søndag"),0)</f>
        <v>mandag</v>
      </c>
      <c r="D18" s="29">
        <f t="shared" si="0"/>
        <v>2</v>
      </c>
      <c r="E18" s="70">
        <f t="shared" si="3"/>
        <v>46244</v>
      </c>
      <c r="F18" s="10" t="s">
        <v>23</v>
      </c>
      <c r="G18" s="12">
        <f>IF(OR(AND(F18="N",NOT(OR(C18="mandag",C18="tirsdag",C18="onsdag",C18="torsdag",C18="fredag"))),F18="F"),0,
        IF(OR(
            AND(Masterdata!$B$4&lt;&gt;DATE(1900,1,0), Masterdata!$B$4&lt;$E18),
            AND(Masterdata!$B$3&lt;&gt;DATE(1900,1,0), Masterdata!$B$3&gt;$E18)
        ),
        0, $X$7/(5-H18)))</f>
        <v>0.30833333333333335</v>
      </c>
      <c r="H18" s="86">
        <f>SUMPRODUCT(COUNTIFS(Juli!$A$9:$A$39,$A18,Juli!$D$9:$D$39,"&lt;7",Juli!$F$9:$F$39,"F")+COUNTIFS($A$9:$A$38,$A18,$D$9:$D$38,"&lt;7",$F$9:$F$38,"F")+COUNTIFS(September!$A$9:$A$39,$A18,September!$D$9:$D$39,"&lt;7",September!$F$9:$F$39,"F"))</f>
        <v>0</v>
      </c>
      <c r="I18" s="11">
        <v>0</v>
      </c>
      <c r="J18" s="11">
        <v>0</v>
      </c>
      <c r="K18" s="11">
        <v>0</v>
      </c>
      <c r="L18" s="26" t="str">
        <f t="shared" si="12"/>
        <v>07:24</v>
      </c>
      <c r="M18" s="26" t="str">
        <f>IF(OR(F18="N",F18="F"),"0:00",
IF(
OR(
AND(Masterdata!$B$4&lt;&gt;DATE(1900,1,0),Masterdata!$B$4&lt;$E18),
AND(Masterdata!$B$3&lt;&gt;DATE(1900,1,0),Masterdata!$B$3&gt;$E18)
),"0:00",
IF(
$I18&gt;TIME(0,0,0),
IF(
NOT(OR($C18="mandag",$C18="tirsdag",$C18="onsdag",$C18="torsdag",$C18="fredag")),
TEXT($I18,"[tt]:mm"),
IF($I18-$G18&gt;=0,TEXT($I18-$G18,"[tt]:mm"),"-"&amp;TEXT(ABS($I18-$G18),"[tt]:mm"))
),
IF(
NOT(OR($C18="mandag",$C18="tirsdag",$C18="onsdag",$C18="torsdag",$C18="fredag")),
IF($K18-$J18&gt;=0,TEXT($K18-$J18,"[tt]:mm"),"-"&amp;TEXT(ABS($K18-$J18),"[tt]:mm")),
IF(
$K18-$J18-$G18&gt;=0,
TEXT($K18-$J18-$G18,"[tt]:mm"),
"-"&amp;TEXT(ABS($K18-$J18-$G18),"[tt]:mm")
)
)
)
))</f>
        <v>0:00</v>
      </c>
      <c r="N18" s="71" t="str">
        <f t="shared" si="4"/>
        <v>0</v>
      </c>
      <c r="O18" s="25" t="str">
        <f t="shared" si="5"/>
        <v>0:</v>
      </c>
      <c r="P18" s="52" t="str">
        <f t="shared" si="6"/>
        <v>0</v>
      </c>
      <c r="Q18" s="53">
        <f t="shared" si="10"/>
        <v>0</v>
      </c>
      <c r="R18" s="30">
        <f t="shared" si="11"/>
        <v>0</v>
      </c>
      <c r="S18" s="98"/>
      <c r="T18" s="98"/>
      <c r="U18" s="29" t="s">
        <v>25</v>
      </c>
      <c r="V18" s="29" t="s">
        <v>52</v>
      </c>
      <c r="W18" s="29" t="s">
        <v>53</v>
      </c>
      <c r="X18" s="30" t="e">
        <f>X16-X17</f>
        <v>#REF!</v>
      </c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</row>
    <row r="19" spans="1:45" x14ac:dyDescent="0.3">
      <c r="A19" s="7">
        <f t="shared" si="2"/>
        <v>33</v>
      </c>
      <c r="B19" s="8">
        <f t="shared" si="9"/>
        <v>46245</v>
      </c>
      <c r="C19" s="9" t="str" cm="1">
        <f t="array" ref="C19">_xlfn.XLOOKUP(E19,Masterdata!$B$31:$B$44,Masterdata!$A$31:$A$44,_xlfn.SWITCH(WEEKDAY($D19, 2), 1, "mandag", 2, "tirsdag", 3, "onsdag", 4, "torsdag", 5, "fredag", 6, "lørdag", 7, "søndag"),0)</f>
        <v>tirsdag</v>
      </c>
      <c r="D19" s="29">
        <f t="shared" si="0"/>
        <v>3</v>
      </c>
      <c r="E19" s="70">
        <f t="shared" si="3"/>
        <v>46245</v>
      </c>
      <c r="F19" s="10" t="s">
        <v>23</v>
      </c>
      <c r="G19" s="12">
        <f>IF(OR(AND(F19="N",NOT(OR(C19="mandag",C19="tirsdag",C19="onsdag",C19="torsdag",C19="fredag"))),F19="F"),0,
        IF(OR(
            AND(Masterdata!$B$4&lt;&gt;DATE(1900,1,0), Masterdata!$B$4&lt;$E19),
            AND(Masterdata!$B$3&lt;&gt;DATE(1900,1,0), Masterdata!$B$3&gt;$E19)
        ),
        0, $X$7/(5-H19)))</f>
        <v>0.30833333333333335</v>
      </c>
      <c r="H19" s="86">
        <f>SUMPRODUCT(COUNTIFS(Juli!$A$9:$A$39,$A19,Juli!$D$9:$D$39,"&lt;7",Juli!$F$9:$F$39,"F")+COUNTIFS($A$9:$A$38,$A19,$D$9:$D$38,"&lt;7",$F$9:$F$38,"F")+COUNTIFS(September!$A$9:$A$39,$A19,September!$D$9:$D$39,"&lt;7",September!$F$9:$F$39,"F"))</f>
        <v>0</v>
      </c>
      <c r="I19" s="11">
        <v>0</v>
      </c>
      <c r="J19" s="11">
        <v>0</v>
      </c>
      <c r="K19" s="11">
        <v>0</v>
      </c>
      <c r="L19" s="26" t="str">
        <f t="shared" si="12"/>
        <v>07:24</v>
      </c>
      <c r="M19" s="26" t="str">
        <f>IF(OR(F19="N",F19="F"),"0:00",
IF(
OR(
AND(Masterdata!$B$4&lt;&gt;DATE(1900,1,0),Masterdata!$B$4&lt;$E19),
AND(Masterdata!$B$3&lt;&gt;DATE(1900,1,0),Masterdata!$B$3&gt;$E19)
),"0:00",
IF(
$I19&gt;TIME(0,0,0),
IF(
NOT(OR($C19="mandag",$C19="tirsdag",$C19="onsdag",$C19="torsdag",$C19="fredag")),
TEXT($I19,"[tt]:mm"),
IF($I19-$G19&gt;=0,TEXT($I19-$G19,"[tt]:mm"),"-"&amp;TEXT(ABS($I19-$G19),"[tt]:mm"))
),
IF(
NOT(OR($C19="mandag",$C19="tirsdag",$C19="onsdag",$C19="torsdag",$C19="fredag")),
IF($K19-$J19&gt;=0,TEXT($K19-$J19,"[tt]:mm"),"-"&amp;TEXT(ABS($K19-$J19),"[tt]:mm")),
IF(
$K19-$J19-$G19&gt;=0,
TEXT($K19-$J19-$G19,"[tt]:mm"),
"-"&amp;TEXT(ABS($K19-$J19-$G19),"[tt]:mm")
)
)
)
))</f>
        <v>0:00</v>
      </c>
      <c r="N19" s="71" t="str">
        <f t="shared" si="4"/>
        <v>0</v>
      </c>
      <c r="O19" s="25" t="str">
        <f t="shared" si="5"/>
        <v>0:</v>
      </c>
      <c r="P19" s="52" t="str">
        <f t="shared" si="6"/>
        <v>0</v>
      </c>
      <c r="Q19" s="53">
        <f t="shared" si="10"/>
        <v>0</v>
      </c>
      <c r="R19" s="30">
        <f t="shared" si="11"/>
        <v>0</v>
      </c>
      <c r="S19" s="98"/>
      <c r="T19" s="98"/>
      <c r="U19" s="29"/>
      <c r="V19" s="29"/>
      <c r="W19" s="70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</row>
    <row r="20" spans="1:45" x14ac:dyDescent="0.3">
      <c r="A20" s="7">
        <f t="shared" si="2"/>
        <v>33</v>
      </c>
      <c r="B20" s="8">
        <f t="shared" si="9"/>
        <v>46246</v>
      </c>
      <c r="C20" s="9" t="str" cm="1">
        <f t="array" ref="C20">_xlfn.XLOOKUP(E20,Masterdata!$B$31:$B$44,Masterdata!$A$31:$A$44,_xlfn.SWITCH(WEEKDAY($D20, 2), 1, "mandag", 2, "tirsdag", 3, "onsdag", 4, "torsdag", 5, "fredag", 6, "lørdag", 7, "søndag"),0)</f>
        <v>onsdag</v>
      </c>
      <c r="D20" s="29">
        <f t="shared" si="0"/>
        <v>4</v>
      </c>
      <c r="E20" s="70">
        <f t="shared" si="3"/>
        <v>46246</v>
      </c>
      <c r="F20" s="10" t="s">
        <v>23</v>
      </c>
      <c r="G20" s="12">
        <f>IF(OR(AND(F20="N",NOT(OR(C20="mandag",C20="tirsdag",C20="onsdag",C20="torsdag",C20="fredag"))),F20="F"),0,
        IF(OR(
            AND(Masterdata!$B$4&lt;&gt;DATE(1900,1,0), Masterdata!$B$4&lt;$E20),
            AND(Masterdata!$B$3&lt;&gt;DATE(1900,1,0), Masterdata!$B$3&gt;$E20)
        ),
        0, $X$7/(5-H20)))</f>
        <v>0.30833333333333335</v>
      </c>
      <c r="H20" s="86">
        <f>SUMPRODUCT(COUNTIFS(Juli!$A$9:$A$39,$A20,Juli!$D$9:$D$39,"&lt;7",Juli!$F$9:$F$39,"F")+COUNTIFS($A$9:$A$38,$A20,$D$9:$D$38,"&lt;7",$F$9:$F$38,"F")+COUNTIFS(September!$A$9:$A$39,$A20,September!$D$9:$D$39,"&lt;7",September!$F$9:$F$39,"F"))</f>
        <v>0</v>
      </c>
      <c r="I20" s="11">
        <v>0</v>
      </c>
      <c r="J20" s="11">
        <v>0</v>
      </c>
      <c r="K20" s="11">
        <v>0</v>
      </c>
      <c r="L20" s="26" t="str">
        <f t="shared" si="12"/>
        <v>07:24</v>
      </c>
      <c r="M20" s="26" t="str">
        <f>IF(OR(F20="N",F20="F"),"0:00",
IF(
OR(
AND(Masterdata!$B$4&lt;&gt;DATE(1900,1,0),Masterdata!$B$4&lt;$E20),
AND(Masterdata!$B$3&lt;&gt;DATE(1900,1,0),Masterdata!$B$3&gt;$E20)
),"0:00",
IF(
$I20&gt;TIME(0,0,0),
IF(
NOT(OR($C20="mandag",$C20="tirsdag",$C20="onsdag",$C20="torsdag",$C20="fredag")),
TEXT($I20,"[tt]:mm"),
IF($I20-$G20&gt;=0,TEXT($I20-$G20,"[tt]:mm"),"-"&amp;TEXT(ABS($I20-$G20),"[tt]:mm"))
),
IF(
NOT(OR($C20="mandag",$C20="tirsdag",$C20="onsdag",$C20="torsdag",$C20="fredag")),
IF($K20-$J20&gt;=0,TEXT($K20-$J20,"[tt]:mm"),"-"&amp;TEXT(ABS($K20-$J20),"[tt]:mm")),
IF(
$K20-$J20-$G20&gt;=0,
TEXT($K20-$J20-$G20,"[tt]:mm"),
"-"&amp;TEXT(ABS($K20-$J20-$G20),"[tt]:mm")
)
)
)
))</f>
        <v>0:00</v>
      </c>
      <c r="N20" s="71" t="str">
        <f t="shared" si="4"/>
        <v>0</v>
      </c>
      <c r="O20" s="25" t="str">
        <f t="shared" si="5"/>
        <v>0:</v>
      </c>
      <c r="P20" s="52" t="str">
        <f t="shared" si="6"/>
        <v>0</v>
      </c>
      <c r="Q20" s="53">
        <f t="shared" si="10"/>
        <v>0</v>
      </c>
      <c r="R20" s="30">
        <f t="shared" si="11"/>
        <v>0</v>
      </c>
      <c r="S20" s="98"/>
      <c r="T20" s="98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</row>
    <row r="21" spans="1:45" x14ac:dyDescent="0.3">
      <c r="A21" s="7">
        <f t="shared" si="2"/>
        <v>33</v>
      </c>
      <c r="B21" s="8">
        <f t="shared" si="9"/>
        <v>46247</v>
      </c>
      <c r="C21" s="9" t="str" cm="1">
        <f t="array" ref="C21">_xlfn.XLOOKUP(E21,Masterdata!$B$31:$B$44,Masterdata!$A$31:$A$44,_xlfn.SWITCH(WEEKDAY($D21, 2), 1, "mandag", 2, "tirsdag", 3, "onsdag", 4, "torsdag", 5, "fredag", 6, "lørdag", 7, "søndag"),0)</f>
        <v>torsdag</v>
      </c>
      <c r="D21" s="29">
        <f t="shared" si="0"/>
        <v>5</v>
      </c>
      <c r="E21" s="70">
        <f t="shared" si="3"/>
        <v>46247</v>
      </c>
      <c r="F21" s="10" t="s">
        <v>23</v>
      </c>
      <c r="G21" s="12">
        <f>IF(OR(AND(F21="N",NOT(OR(C21="mandag",C21="tirsdag",C21="onsdag",C21="torsdag",C21="fredag"))),F21="F"),0,
        IF(OR(
            AND(Masterdata!$B$4&lt;&gt;DATE(1900,1,0), Masterdata!$B$4&lt;$E21),
            AND(Masterdata!$B$3&lt;&gt;DATE(1900,1,0), Masterdata!$B$3&gt;$E21)
        ),
        0, $X$7/(5-H21)))</f>
        <v>0.30833333333333335</v>
      </c>
      <c r="H21" s="86">
        <f>SUMPRODUCT(COUNTIFS(Juli!$A$9:$A$39,$A21,Juli!$D$9:$D$39,"&lt;7",Juli!$F$9:$F$39,"F")+COUNTIFS($A$9:$A$38,$A21,$D$9:$D$38,"&lt;7",$F$9:$F$38,"F")+COUNTIFS(September!$A$9:$A$39,$A21,September!$D$9:$D$39,"&lt;7",September!$F$9:$F$39,"F"))</f>
        <v>0</v>
      </c>
      <c r="I21" s="11">
        <v>0</v>
      </c>
      <c r="J21" s="11">
        <v>0</v>
      </c>
      <c r="K21" s="11">
        <v>0</v>
      </c>
      <c r="L21" s="26" t="str">
        <f t="shared" si="12"/>
        <v>07:24</v>
      </c>
      <c r="M21" s="26" t="str">
        <f>IF(OR(F21="N",F21="F"),"0:00",
IF(
OR(
AND(Masterdata!$B$4&lt;&gt;DATE(1900,1,0),Masterdata!$B$4&lt;$E21),
AND(Masterdata!$B$3&lt;&gt;DATE(1900,1,0),Masterdata!$B$3&gt;$E21)
),"0:00",
IF(
$I21&gt;TIME(0,0,0),
IF(
NOT(OR($C21="mandag",$C21="tirsdag",$C21="onsdag",$C21="torsdag",$C21="fredag")),
TEXT($I21,"[tt]:mm"),
IF($I21-$G21&gt;=0,TEXT($I21-$G21,"[tt]:mm"),"-"&amp;TEXT(ABS($I21-$G21),"[tt]:mm"))
),
IF(
NOT(OR($C21="mandag",$C21="tirsdag",$C21="onsdag",$C21="torsdag",$C21="fredag")),
IF($K21-$J21&gt;=0,TEXT($K21-$J21,"[tt]:mm"),"-"&amp;TEXT(ABS($K21-$J21),"[tt]:mm")),
IF(
$K21-$J21-$G21&gt;=0,
TEXT($K21-$J21-$G21,"[tt]:mm"),
"-"&amp;TEXT(ABS($K21-$J21-$G21),"[tt]:mm")
)
)
)
))</f>
        <v>0:00</v>
      </c>
      <c r="N21" s="71" t="str">
        <f>LEFT(M21,1)</f>
        <v>0</v>
      </c>
      <c r="O21" s="25" t="str">
        <f t="shared" si="5"/>
        <v>0:</v>
      </c>
      <c r="P21" s="52" t="str">
        <f t="shared" si="6"/>
        <v>0</v>
      </c>
      <c r="Q21" s="53">
        <f t="shared" si="10"/>
        <v>0</v>
      </c>
      <c r="R21" s="30">
        <f>IF(N21="-",O21-Q21,O21+Q21)</f>
        <v>0</v>
      </c>
      <c r="S21" s="98"/>
      <c r="T21" s="98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</row>
    <row r="22" spans="1:45" x14ac:dyDescent="0.3">
      <c r="A22" s="7">
        <f t="shared" si="2"/>
        <v>33</v>
      </c>
      <c r="B22" s="8">
        <f t="shared" si="9"/>
        <v>46248</v>
      </c>
      <c r="C22" s="9" t="str" cm="1">
        <f t="array" ref="C22">_xlfn.XLOOKUP(E22,Masterdata!$B$31:$B$44,Masterdata!$A$31:$A$44,_xlfn.SWITCH(WEEKDAY($D22, 2), 1, "mandag", 2, "tirsdag", 3, "onsdag", 4, "torsdag", 5, "fredag", 6, "lørdag", 7, "søndag"),0)</f>
        <v>fredag</v>
      </c>
      <c r="D22" s="29">
        <f t="shared" si="0"/>
        <v>6</v>
      </c>
      <c r="E22" s="70">
        <f t="shared" si="3"/>
        <v>46248</v>
      </c>
      <c r="F22" s="10" t="s">
        <v>23</v>
      </c>
      <c r="G22" s="12">
        <f>IF(OR(AND(F22="N",NOT(OR(C22="mandag",C22="tirsdag",C22="onsdag",C22="torsdag",C22="fredag"))),F22="F"),0,
        IF(OR(
            AND(Masterdata!$B$4&lt;&gt;DATE(1900,1,0), Masterdata!$B$4&lt;$E22),
            AND(Masterdata!$B$3&lt;&gt;DATE(1900,1,0), Masterdata!$B$3&gt;$E22)
        ),
        0, $X$7/(5-H22)))</f>
        <v>0.30833333333333335</v>
      </c>
      <c r="H22" s="86">
        <f>SUMPRODUCT(COUNTIFS(Juli!$A$9:$A$39,$A22,Juli!$D$9:$D$39,"&lt;7",Juli!$F$9:$F$39,"F")+COUNTIFS($A$9:$A$38,$A22,$D$9:$D$38,"&lt;7",$F$9:$F$38,"F")+COUNTIFS(September!$A$9:$A$39,$A22,September!$D$9:$D$39,"&lt;7",September!$F$9:$F$39,"F"))</f>
        <v>0</v>
      </c>
      <c r="I22" s="11">
        <v>0</v>
      </c>
      <c r="J22" s="11">
        <v>0</v>
      </c>
      <c r="K22" s="11">
        <v>0</v>
      </c>
      <c r="L22" s="26" t="str">
        <f t="shared" si="12"/>
        <v>07:24</v>
      </c>
      <c r="M22" s="26" t="str">
        <f>IF(OR(F22="N",F22="F"),"0:00",
IF(
OR(
AND(Masterdata!$B$4&lt;&gt;DATE(1900,1,0),Masterdata!$B$4&lt;$E22),
AND(Masterdata!$B$3&lt;&gt;DATE(1900,1,0),Masterdata!$B$3&gt;$E22)
),"0:00",
IF(
$I22&gt;TIME(0,0,0),
IF(
NOT(OR($C22="mandag",$C22="tirsdag",$C22="onsdag",$C22="torsdag",$C22="fredag")),
TEXT($I22,"[tt]:mm"),
IF($I22-$G22&gt;=0,TEXT($I22-$G22,"[tt]:mm"),"-"&amp;TEXT(ABS($I22-$G22),"[tt]:mm"))
),
IF(
NOT(OR($C22="mandag",$C22="tirsdag",$C22="onsdag",$C22="torsdag",$C22="fredag")),
IF($K22-$J22&gt;=0,TEXT($K22-$J22,"[tt]:mm"),"-"&amp;TEXT(ABS($K22-$J22),"[tt]:mm")),
IF(
$K22-$J22-$G22&gt;=0,
TEXT($K22-$J22-$G22,"[tt]:mm"),
"-"&amp;TEXT(ABS($K22-$J22-$G22),"[tt]:mm")
)
)
)
))</f>
        <v>0:00</v>
      </c>
      <c r="N22" s="71" t="str">
        <f t="shared" ref="N22:N35" si="13">LEFT(M22,1)</f>
        <v>0</v>
      </c>
      <c r="O22" s="25" t="str">
        <f t="shared" si="5"/>
        <v>0:</v>
      </c>
      <c r="P22" s="52" t="str">
        <f t="shared" si="6"/>
        <v>0</v>
      </c>
      <c r="Q22" s="53">
        <f t="shared" si="10"/>
        <v>0</v>
      </c>
      <c r="R22" s="30">
        <f t="shared" ref="R22:R35" si="14">IF(N22="-",O22-Q22,O22+Q22)</f>
        <v>0</v>
      </c>
      <c r="S22" s="98"/>
      <c r="T22" s="98"/>
      <c r="U22" s="29"/>
      <c r="V22" s="29"/>
      <c r="W22" s="29" t="s">
        <v>124</v>
      </c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</row>
    <row r="23" spans="1:45" x14ac:dyDescent="0.3">
      <c r="A23" s="7">
        <f t="shared" si="2"/>
        <v>33</v>
      </c>
      <c r="B23" s="8">
        <f t="shared" si="9"/>
        <v>46249</v>
      </c>
      <c r="C23" s="9" t="str" cm="1">
        <f t="array" ref="C23">_xlfn.XLOOKUP(E23,Masterdata!$B$31:$B$44,Masterdata!$A$31:$A$44,_xlfn.SWITCH(WEEKDAY($D23, 2), 1, "mandag", 2, "tirsdag", 3, "onsdag", 4, "torsdag", 5, "fredag", 6, "lørdag", 7, "søndag"),0)</f>
        <v>lørdag</v>
      </c>
      <c r="D23" s="29">
        <f t="shared" si="0"/>
        <v>7</v>
      </c>
      <c r="E23" s="70">
        <f t="shared" si="3"/>
        <v>46249</v>
      </c>
      <c r="F23" s="10" t="s">
        <v>23</v>
      </c>
      <c r="G23" s="12">
        <f>IF(OR(AND(F23="N",NOT(OR(C23="mandag",C23="tirsdag",C23="onsdag",C23="torsdag",C23="fredag"))),F23="F"),0,
        IF(OR(
            AND(Masterdata!$B$4&lt;&gt;DATE(1900,1,0), Masterdata!$B$4&lt;$E23),
            AND(Masterdata!$B$3&lt;&gt;DATE(1900,1,0), Masterdata!$B$3&gt;$E23)
        ),
        0, $X$7/(5-H23)))</f>
        <v>0</v>
      </c>
      <c r="H23" s="86">
        <f>SUMPRODUCT(COUNTIFS(Juli!$A$9:$A$39,$A23,Juli!$D$9:$D$39,"&lt;7",Juli!$F$9:$F$39,"F")+COUNTIFS($A$9:$A$38,$A23,$D$9:$D$38,"&lt;7",$F$9:$F$38,"F")+COUNTIFS(September!$A$9:$A$39,$A23,September!$D$9:$D$39,"&lt;7",September!$F$9:$F$39,"F"))</f>
        <v>0</v>
      </c>
      <c r="I23" s="11">
        <v>0</v>
      </c>
      <c r="J23" s="11">
        <v>0</v>
      </c>
      <c r="K23" s="11">
        <v>0</v>
      </c>
      <c r="L23" s="26" t="str">
        <f t="shared" si="12"/>
        <v>00:00</v>
      </c>
      <c r="M23" s="26" t="str">
        <f>IF(OR(F23="N",F23="F"),"0:00",
IF(
OR(
AND(Masterdata!$B$4&lt;&gt;DATE(1900,1,0),Masterdata!$B$4&lt;$E23),
AND(Masterdata!$B$3&lt;&gt;DATE(1900,1,0),Masterdata!$B$3&gt;$E23)
),"0:00",
IF(
$I23&gt;TIME(0,0,0),
IF(
NOT(OR($C23="mandag",$C23="tirsdag",$C23="onsdag",$C23="torsdag",$C23="fredag")),
TEXT($I23,"[tt]:mm"),
IF($I23-$G23&gt;=0,TEXT($I23-$G23,"[tt]:mm"),"-"&amp;TEXT(ABS($I23-$G23),"[tt]:mm"))
),
IF(
NOT(OR($C23="mandag",$C23="tirsdag",$C23="onsdag",$C23="torsdag",$C23="fredag")),
IF($K23-$J23&gt;=0,TEXT($K23-$J23,"[tt]:mm"),"-"&amp;TEXT(ABS($K23-$J23),"[tt]:mm")),
IF(
$K23-$J23-$G23&gt;=0,
TEXT($K23-$J23-$G23,"[tt]:mm"),
"-"&amp;TEXT(ABS($K23-$J23-$G23),"[tt]:mm")
)
)
)
))</f>
        <v>0:00</v>
      </c>
      <c r="N23" s="71" t="str">
        <f t="shared" si="13"/>
        <v>0</v>
      </c>
      <c r="O23" s="25" t="str">
        <f t="shared" si="5"/>
        <v>0:</v>
      </c>
      <c r="P23" s="52" t="str">
        <f t="shared" si="6"/>
        <v>0</v>
      </c>
      <c r="Q23" s="53">
        <f t="shared" si="10"/>
        <v>0</v>
      </c>
      <c r="R23" s="30">
        <f t="shared" si="14"/>
        <v>0</v>
      </c>
      <c r="S23" s="98"/>
      <c r="T23" s="98"/>
      <c r="U23" s="29"/>
      <c r="V23" s="29"/>
      <c r="W23" s="29" t="s">
        <v>125</v>
      </c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</row>
    <row r="24" spans="1:45" x14ac:dyDescent="0.3">
      <c r="A24" s="7">
        <f t="shared" si="2"/>
        <v>33</v>
      </c>
      <c r="B24" s="8">
        <f t="shared" si="9"/>
        <v>46250</v>
      </c>
      <c r="C24" s="9" t="str" cm="1">
        <f t="array" ref="C24">_xlfn.XLOOKUP(E24,Masterdata!$B$31:$B$44,Masterdata!$A$31:$A$44,_xlfn.SWITCH(WEEKDAY($D24, 2), 1, "mandag", 2, "tirsdag", 3, "onsdag", 4, "torsdag", 5, "fredag", 6, "lørdag", 7, "søndag"),0)</f>
        <v>søndag</v>
      </c>
      <c r="D24" s="29">
        <f t="shared" si="0"/>
        <v>8</v>
      </c>
      <c r="E24" s="70">
        <f t="shared" si="3"/>
        <v>46250</v>
      </c>
      <c r="F24" s="10" t="s">
        <v>23</v>
      </c>
      <c r="G24" s="12">
        <f>IF(OR(AND(F24="N",NOT(OR(C24="mandag",C24="tirsdag",C24="onsdag",C24="torsdag",C24="fredag"))),F24="F"),0,
        IF(OR(
            AND(Masterdata!$B$4&lt;&gt;DATE(1900,1,0), Masterdata!$B$4&lt;$E24),
            AND(Masterdata!$B$3&lt;&gt;DATE(1900,1,0), Masterdata!$B$3&gt;$E24)
        ),
        0, $X$7/(5-H24)))</f>
        <v>0</v>
      </c>
      <c r="H24" s="86">
        <f>SUMPRODUCT(COUNTIFS(Juli!$A$9:$A$39,$A24,Juli!$D$9:$D$39,"&lt;7",Juli!$F$9:$F$39,"F")+COUNTIFS($A$9:$A$38,$A24,$D$9:$D$38,"&lt;7",$F$9:$F$38,"F")+COUNTIFS(September!$A$9:$A$39,$A24,September!$D$9:$D$39,"&lt;7",September!$F$9:$F$39,"F"))</f>
        <v>0</v>
      </c>
      <c r="I24" s="11">
        <v>0</v>
      </c>
      <c r="J24" s="11">
        <v>0</v>
      </c>
      <c r="K24" s="11">
        <v>0</v>
      </c>
      <c r="L24" s="26" t="str">
        <f t="shared" si="12"/>
        <v>00:00</v>
      </c>
      <c r="M24" s="26" t="str">
        <f>IF(OR(F24="N",F24="F"),"0:00",
IF(
OR(
AND(Masterdata!$B$4&lt;&gt;DATE(1900,1,0),Masterdata!$B$4&lt;$E24),
AND(Masterdata!$B$3&lt;&gt;DATE(1900,1,0),Masterdata!$B$3&gt;$E24)
),"0:00",
IF(
$I24&gt;TIME(0,0,0),
IF(
NOT(OR($C24="mandag",$C24="tirsdag",$C24="onsdag",$C24="torsdag",$C24="fredag")),
TEXT($I24,"[tt]:mm"),
IF($I24-$G24&gt;=0,TEXT($I24-$G24,"[tt]:mm"),"-"&amp;TEXT(ABS($I24-$G24),"[tt]:mm"))
),
IF(
NOT(OR($C24="mandag",$C24="tirsdag",$C24="onsdag",$C24="torsdag",$C24="fredag")),
IF($K24-$J24&gt;=0,TEXT($K24-$J24,"[tt]:mm"),"-"&amp;TEXT(ABS($K24-$J24),"[tt]:mm")),
IF(
$K24-$J24-$G24&gt;=0,
TEXT($K24-$J24-$G24,"[tt]:mm"),
"-"&amp;TEXT(ABS($K24-$J24-$G24),"[tt]:mm")
)
)
)
))</f>
        <v>0:00</v>
      </c>
      <c r="N24" s="71" t="str">
        <f t="shared" si="13"/>
        <v>0</v>
      </c>
      <c r="O24" s="25" t="str">
        <f t="shared" si="5"/>
        <v>0:</v>
      </c>
      <c r="P24" s="52" t="str">
        <f t="shared" si="6"/>
        <v>0</v>
      </c>
      <c r="Q24" s="53">
        <f t="shared" si="10"/>
        <v>0</v>
      </c>
      <c r="R24" s="30">
        <f t="shared" si="14"/>
        <v>0</v>
      </c>
      <c r="S24" s="98"/>
      <c r="T24" s="98"/>
      <c r="U24" s="29"/>
      <c r="V24" s="29"/>
      <c r="W24" s="29" t="s">
        <v>126</v>
      </c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</row>
    <row r="25" spans="1:45" x14ac:dyDescent="0.3">
      <c r="A25" s="7">
        <f t="shared" si="2"/>
        <v>34</v>
      </c>
      <c r="B25" s="8">
        <f t="shared" si="9"/>
        <v>46251</v>
      </c>
      <c r="C25" s="9" t="str" cm="1">
        <f t="array" ref="C25">_xlfn.XLOOKUP(E25,Masterdata!$B$31:$B$44,Masterdata!$A$31:$A$44,_xlfn.SWITCH(WEEKDAY($D25, 2), 1, "mandag", 2, "tirsdag", 3, "onsdag", 4, "torsdag", 5, "fredag", 6, "lørdag", 7, "søndag"),0)</f>
        <v>mandag</v>
      </c>
      <c r="D25" s="29">
        <f t="shared" si="0"/>
        <v>2</v>
      </c>
      <c r="E25" s="70">
        <f t="shared" si="3"/>
        <v>46251</v>
      </c>
      <c r="F25" s="10" t="s">
        <v>23</v>
      </c>
      <c r="G25" s="12">
        <f>IF(OR(AND(F25="N",NOT(OR(C25="mandag",C25="tirsdag",C25="onsdag",C25="torsdag",C25="fredag"))),F25="F"),0,
        IF(OR(
            AND(Masterdata!$B$4&lt;&gt;DATE(1900,1,0), Masterdata!$B$4&lt;$E25),
            AND(Masterdata!$B$3&lt;&gt;DATE(1900,1,0), Masterdata!$B$3&gt;$E25)
        ),
        0, $X$7/(5-H25)))</f>
        <v>0.30833333333333335</v>
      </c>
      <c r="H25" s="86">
        <f>SUMPRODUCT(COUNTIFS(Juli!$A$9:$A$39,$A25,Juli!$D$9:$D$39,"&lt;7",Juli!$F$9:$F$39,"F")+COUNTIFS($A$9:$A$38,$A25,$D$9:$D$38,"&lt;7",$F$9:$F$38,"F")+COUNTIFS(September!$A$9:$A$39,$A25,September!$D$9:$D$39,"&lt;7",September!$F$9:$F$39,"F"))</f>
        <v>0</v>
      </c>
      <c r="I25" s="11">
        <v>0</v>
      </c>
      <c r="J25" s="11">
        <v>0</v>
      </c>
      <c r="K25" s="11">
        <v>0</v>
      </c>
      <c r="L25" s="26" t="str">
        <f t="shared" si="12"/>
        <v>07:24</v>
      </c>
      <c r="M25" s="26" t="str">
        <f>IF(OR(F25="N",F25="F"),"0:00",
IF(
OR(
AND(Masterdata!$B$4&lt;&gt;DATE(1900,1,0),Masterdata!$B$4&lt;$E25),
AND(Masterdata!$B$3&lt;&gt;DATE(1900,1,0),Masterdata!$B$3&gt;$E25)
),"0:00",
IF(
$I25&gt;TIME(0,0,0),
IF(
NOT(OR($C25="mandag",$C25="tirsdag",$C25="onsdag",$C25="torsdag",$C25="fredag")),
TEXT($I25,"[tt]:mm"),
IF($I25-$G25&gt;=0,TEXT($I25-$G25,"[tt]:mm"),"-"&amp;TEXT(ABS($I25-$G25),"[tt]:mm"))
),
IF(
NOT(OR($C25="mandag",$C25="tirsdag",$C25="onsdag",$C25="torsdag",$C25="fredag")),
IF($K25-$J25&gt;=0,TEXT($K25-$J25,"[tt]:mm"),"-"&amp;TEXT(ABS($K25-$J25),"[tt]:mm")),
IF(
$K25-$J25-$G25&gt;=0,
TEXT($K25-$J25-$G25,"[tt]:mm"),
"-"&amp;TEXT(ABS($K25-$J25-$G25),"[tt]:mm")
)
)
)
))</f>
        <v>0:00</v>
      </c>
      <c r="N25" s="71" t="str">
        <f t="shared" si="13"/>
        <v>0</v>
      </c>
      <c r="O25" s="25" t="str">
        <f t="shared" si="5"/>
        <v>0:</v>
      </c>
      <c r="P25" s="52" t="str">
        <f t="shared" si="6"/>
        <v>0</v>
      </c>
      <c r="Q25" s="53">
        <f t="shared" si="10"/>
        <v>0</v>
      </c>
      <c r="R25" s="30">
        <f t="shared" si="14"/>
        <v>0</v>
      </c>
      <c r="S25" s="98"/>
      <c r="T25" s="98"/>
      <c r="U25" s="29"/>
      <c r="V25" s="29"/>
      <c r="W25" s="29" t="s">
        <v>127</v>
      </c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</row>
    <row r="26" spans="1:45" x14ac:dyDescent="0.3">
      <c r="A26" s="7">
        <f t="shared" si="2"/>
        <v>34</v>
      </c>
      <c r="B26" s="8">
        <f t="shared" si="9"/>
        <v>46252</v>
      </c>
      <c r="C26" s="9" t="str" cm="1">
        <f t="array" ref="C26">_xlfn.XLOOKUP(E26,Masterdata!$B$31:$B$44,Masterdata!$A$31:$A$44,_xlfn.SWITCH(WEEKDAY($D26, 2), 1, "mandag", 2, "tirsdag", 3, "onsdag", 4, "torsdag", 5, "fredag", 6, "lørdag", 7, "søndag"),0)</f>
        <v>tirsdag</v>
      </c>
      <c r="D26" s="29">
        <f t="shared" si="0"/>
        <v>3</v>
      </c>
      <c r="E26" s="70">
        <f t="shared" si="3"/>
        <v>46252</v>
      </c>
      <c r="F26" s="10" t="s">
        <v>23</v>
      </c>
      <c r="G26" s="12">
        <f>IF(OR(AND(F26="N",NOT(OR(C26="mandag",C26="tirsdag",C26="onsdag",C26="torsdag",C26="fredag"))),F26="F"),0,
        IF(OR(
            AND(Masterdata!$B$4&lt;&gt;DATE(1900,1,0), Masterdata!$B$4&lt;$E26),
            AND(Masterdata!$B$3&lt;&gt;DATE(1900,1,0), Masterdata!$B$3&gt;$E26)
        ),
        0, $X$7/(5-H26)))</f>
        <v>0.30833333333333335</v>
      </c>
      <c r="H26" s="86">
        <f>SUMPRODUCT(COUNTIFS(Juli!$A$9:$A$39,$A26,Juli!$D$9:$D$39,"&lt;7",Juli!$F$9:$F$39,"F")+COUNTIFS($A$9:$A$38,$A26,$D$9:$D$38,"&lt;7",$F$9:$F$38,"F")+COUNTIFS(September!$A$9:$A$39,$A26,September!$D$9:$D$39,"&lt;7",September!$F$9:$F$39,"F"))</f>
        <v>0</v>
      </c>
      <c r="I26" s="11">
        <v>0</v>
      </c>
      <c r="J26" s="11">
        <v>0</v>
      </c>
      <c r="K26" s="11">
        <v>0</v>
      </c>
      <c r="L26" s="26" t="str">
        <f t="shared" si="12"/>
        <v>07:24</v>
      </c>
      <c r="M26" s="26" t="str">
        <f>IF(OR(F26="N",F26="F"),"0:00",
IF(
OR(
AND(Masterdata!$B$4&lt;&gt;DATE(1900,1,0),Masterdata!$B$4&lt;$E26),
AND(Masterdata!$B$3&lt;&gt;DATE(1900,1,0),Masterdata!$B$3&gt;$E26)
),"0:00",
IF(
$I26&gt;TIME(0,0,0),
IF(
NOT(OR($C26="mandag",$C26="tirsdag",$C26="onsdag",$C26="torsdag",$C26="fredag")),
TEXT($I26,"[tt]:mm"),
IF($I26-$G26&gt;=0,TEXT($I26-$G26,"[tt]:mm"),"-"&amp;TEXT(ABS($I26-$G26),"[tt]:mm"))
),
IF(
NOT(OR($C26="mandag",$C26="tirsdag",$C26="onsdag",$C26="torsdag",$C26="fredag")),
IF($K26-$J26&gt;=0,TEXT($K26-$J26,"[tt]:mm"),"-"&amp;TEXT(ABS($K26-$J26),"[tt]:mm")),
IF(
$K26-$J26-$G26&gt;=0,
TEXT($K26-$J26-$G26,"[tt]:mm"),
"-"&amp;TEXT(ABS($K26-$J26-$G26),"[tt]:mm")
)
)
)
))</f>
        <v>0:00</v>
      </c>
      <c r="N26" s="71" t="str">
        <f t="shared" si="13"/>
        <v>0</v>
      </c>
      <c r="O26" s="25" t="str">
        <f t="shared" si="5"/>
        <v>0:</v>
      </c>
      <c r="P26" s="52" t="str">
        <f t="shared" si="6"/>
        <v>0</v>
      </c>
      <c r="Q26" s="53">
        <f t="shared" si="10"/>
        <v>0</v>
      </c>
      <c r="R26" s="30">
        <f t="shared" si="14"/>
        <v>0</v>
      </c>
      <c r="S26" s="98"/>
      <c r="T26" s="98"/>
      <c r="U26" s="29"/>
      <c r="V26" s="29"/>
      <c r="W26" s="29" t="s">
        <v>128</v>
      </c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</row>
    <row r="27" spans="1:45" x14ac:dyDescent="0.3">
      <c r="A27" s="7">
        <f t="shared" si="2"/>
        <v>34</v>
      </c>
      <c r="B27" s="8">
        <f t="shared" si="9"/>
        <v>46253</v>
      </c>
      <c r="C27" s="9" t="str" cm="1">
        <f t="array" ref="C27">_xlfn.XLOOKUP(E27,Masterdata!$B$31:$B$44,Masterdata!$A$31:$A$44,_xlfn.SWITCH(WEEKDAY($D27, 2), 1, "mandag", 2, "tirsdag", 3, "onsdag", 4, "torsdag", 5, "fredag", 6, "lørdag", 7, "søndag"),0)</f>
        <v>onsdag</v>
      </c>
      <c r="D27" s="29">
        <f t="shared" si="0"/>
        <v>4</v>
      </c>
      <c r="E27" s="70">
        <f t="shared" si="3"/>
        <v>46253</v>
      </c>
      <c r="F27" s="10" t="s">
        <v>23</v>
      </c>
      <c r="G27" s="12">
        <f>IF(OR(AND(F27="N",NOT(OR(C27="mandag",C27="tirsdag",C27="onsdag",C27="torsdag",C27="fredag"))),F27="F"),0,
        IF(OR(
            AND(Masterdata!$B$4&lt;&gt;DATE(1900,1,0), Masterdata!$B$4&lt;$E27),
            AND(Masterdata!$B$3&lt;&gt;DATE(1900,1,0), Masterdata!$B$3&gt;$E27)
        ),
        0, $X$7/(5-H27)))</f>
        <v>0.30833333333333335</v>
      </c>
      <c r="H27" s="86">
        <f>SUMPRODUCT(COUNTIFS(Juli!$A$9:$A$39,$A27,Juli!$D$9:$D$39,"&lt;7",Juli!$F$9:$F$39,"F")+COUNTIFS($A$9:$A$38,$A27,$D$9:$D$38,"&lt;7",$F$9:$F$38,"F")+COUNTIFS(September!$A$9:$A$39,$A27,September!$D$9:$D$39,"&lt;7",September!$F$9:$F$39,"F"))</f>
        <v>0</v>
      </c>
      <c r="I27" s="11">
        <v>0</v>
      </c>
      <c r="J27" s="11">
        <v>0</v>
      </c>
      <c r="K27" s="11">
        <v>0</v>
      </c>
      <c r="L27" s="26" t="str">
        <f t="shared" si="12"/>
        <v>07:24</v>
      </c>
      <c r="M27" s="26" t="str">
        <f>IF(OR(F27="N",F27="F"),"0:00",
IF(
OR(
AND(Masterdata!$B$4&lt;&gt;DATE(1900,1,0),Masterdata!$B$4&lt;$E27),
AND(Masterdata!$B$3&lt;&gt;DATE(1900,1,0),Masterdata!$B$3&gt;$E27)
),"0:00",
IF(
$I27&gt;TIME(0,0,0),
IF(
NOT(OR($C27="mandag",$C27="tirsdag",$C27="onsdag",$C27="torsdag",$C27="fredag")),
TEXT($I27,"[tt]:mm"),
IF($I27-$G27&gt;=0,TEXT($I27-$G27,"[tt]:mm"),"-"&amp;TEXT(ABS($I27-$G27),"[tt]:mm"))
),
IF(
NOT(OR($C27="mandag",$C27="tirsdag",$C27="onsdag",$C27="torsdag",$C27="fredag")),
IF($K27-$J27&gt;=0,TEXT($K27-$J27,"[tt]:mm"),"-"&amp;TEXT(ABS($K27-$J27),"[tt]:mm")),
IF(
$K27-$J27-$G27&gt;=0,
TEXT($K27-$J27-$G27,"[tt]:mm"),
"-"&amp;TEXT(ABS($K27-$J27-$G27),"[tt]:mm")
)
)
)
))</f>
        <v>0:00</v>
      </c>
      <c r="N27" s="71" t="str">
        <f t="shared" si="13"/>
        <v>0</v>
      </c>
      <c r="O27" s="25" t="str">
        <f t="shared" si="5"/>
        <v>0:</v>
      </c>
      <c r="P27" s="52" t="str">
        <f t="shared" si="6"/>
        <v>0</v>
      </c>
      <c r="Q27" s="53">
        <f t="shared" si="10"/>
        <v>0</v>
      </c>
      <c r="R27" s="30">
        <f t="shared" si="14"/>
        <v>0</v>
      </c>
      <c r="S27" s="98"/>
      <c r="T27" s="98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</row>
    <row r="28" spans="1:45" x14ac:dyDescent="0.3">
      <c r="A28" s="7">
        <f t="shared" si="2"/>
        <v>34</v>
      </c>
      <c r="B28" s="8">
        <f t="shared" si="9"/>
        <v>46254</v>
      </c>
      <c r="C28" s="9" t="str" cm="1">
        <f t="array" ref="C28">_xlfn.XLOOKUP(E28,Masterdata!$B$31:$B$44,Masterdata!$A$31:$A$44,_xlfn.SWITCH(WEEKDAY($D28, 2), 1, "mandag", 2, "tirsdag", 3, "onsdag", 4, "torsdag", 5, "fredag", 6, "lørdag", 7, "søndag"),0)</f>
        <v>torsdag</v>
      </c>
      <c r="D28" s="29">
        <f t="shared" si="0"/>
        <v>5</v>
      </c>
      <c r="E28" s="70">
        <f t="shared" si="3"/>
        <v>46254</v>
      </c>
      <c r="F28" s="10" t="s">
        <v>23</v>
      </c>
      <c r="G28" s="12">
        <f>IF(OR(AND(F28="N",NOT(OR(C28="mandag",C28="tirsdag",C28="onsdag",C28="torsdag",C28="fredag"))),F28="F"),0,
        IF(OR(
            AND(Masterdata!$B$4&lt;&gt;DATE(1900,1,0), Masterdata!$B$4&lt;$E28),
            AND(Masterdata!$B$3&lt;&gt;DATE(1900,1,0), Masterdata!$B$3&gt;$E28)
        ),
        0, $X$7/(5-H28)))</f>
        <v>0.30833333333333335</v>
      </c>
      <c r="H28" s="86">
        <f>SUMPRODUCT(COUNTIFS(Juli!$A$9:$A$39,$A28,Juli!$D$9:$D$39,"&lt;7",Juli!$F$9:$F$39,"F")+COUNTIFS($A$9:$A$38,$A28,$D$9:$D$38,"&lt;7",$F$9:$F$38,"F")+COUNTIFS(September!$A$9:$A$39,$A28,September!$D$9:$D$39,"&lt;7",September!$F$9:$F$39,"F"))</f>
        <v>0</v>
      </c>
      <c r="I28" s="11">
        <v>0</v>
      </c>
      <c r="J28" s="11">
        <v>0</v>
      </c>
      <c r="K28" s="11">
        <v>0</v>
      </c>
      <c r="L28" s="26" t="str">
        <f t="shared" si="12"/>
        <v>07:24</v>
      </c>
      <c r="M28" s="26" t="str">
        <f>IF(OR(F28="N",F28="F"),"0:00",
IF(
OR(
AND(Masterdata!$B$4&lt;&gt;DATE(1900,1,0),Masterdata!$B$4&lt;$E28),
AND(Masterdata!$B$3&lt;&gt;DATE(1900,1,0),Masterdata!$B$3&gt;$E28)
),"0:00",
IF(
$I28&gt;TIME(0,0,0),
IF(
NOT(OR($C28="mandag",$C28="tirsdag",$C28="onsdag",$C28="torsdag",$C28="fredag")),
TEXT($I28,"[tt]:mm"),
IF($I28-$G28&gt;=0,TEXT($I28-$G28,"[tt]:mm"),"-"&amp;TEXT(ABS($I28-$G28),"[tt]:mm"))
),
IF(
NOT(OR($C28="mandag",$C28="tirsdag",$C28="onsdag",$C28="torsdag",$C28="fredag")),
IF($K28-$J28&gt;=0,TEXT($K28-$J28,"[tt]:mm"),"-"&amp;TEXT(ABS($K28-$J28),"[tt]:mm")),
IF(
$K28-$J28-$G28&gt;=0,
TEXT($K28-$J28-$G28,"[tt]:mm"),
"-"&amp;TEXT(ABS($K28-$J28-$G28),"[tt]:mm")
)
)
)
))</f>
        <v>0:00</v>
      </c>
      <c r="N28" s="71" t="str">
        <f t="shared" si="13"/>
        <v>0</v>
      </c>
      <c r="O28" s="25" t="str">
        <f t="shared" si="5"/>
        <v>0:</v>
      </c>
      <c r="P28" s="52" t="str">
        <f t="shared" si="6"/>
        <v>0</v>
      </c>
      <c r="Q28" s="53">
        <f t="shared" si="10"/>
        <v>0</v>
      </c>
      <c r="R28" s="30">
        <f t="shared" si="14"/>
        <v>0</v>
      </c>
      <c r="S28" s="98"/>
      <c r="T28" s="98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</row>
    <row r="29" spans="1:45" x14ac:dyDescent="0.3">
      <c r="A29" s="7">
        <f t="shared" si="2"/>
        <v>34</v>
      </c>
      <c r="B29" s="8">
        <f t="shared" si="9"/>
        <v>46255</v>
      </c>
      <c r="C29" s="9" t="str" cm="1">
        <f t="array" ref="C29">_xlfn.XLOOKUP(E29,Masterdata!$B$31:$B$44,Masterdata!$A$31:$A$44,_xlfn.SWITCH(WEEKDAY($D29, 2), 1, "mandag", 2, "tirsdag", 3, "onsdag", 4, "torsdag", 5, "fredag", 6, "lørdag", 7, "søndag"),0)</f>
        <v>fredag</v>
      </c>
      <c r="D29" s="29">
        <f t="shared" si="0"/>
        <v>6</v>
      </c>
      <c r="E29" s="70">
        <f t="shared" si="3"/>
        <v>46255</v>
      </c>
      <c r="F29" s="10" t="s">
        <v>23</v>
      </c>
      <c r="G29" s="12">
        <f>IF(OR(AND(F29="N",NOT(OR(C29="mandag",C29="tirsdag",C29="onsdag",C29="torsdag",C29="fredag"))),F29="F"),0,
        IF(OR(
            AND(Masterdata!$B$4&lt;&gt;DATE(1900,1,0), Masterdata!$B$4&lt;$E29),
            AND(Masterdata!$B$3&lt;&gt;DATE(1900,1,0), Masterdata!$B$3&gt;$E29)
        ),
        0, $X$7/(5-H29)))</f>
        <v>0.30833333333333335</v>
      </c>
      <c r="H29" s="86">
        <f>SUMPRODUCT(COUNTIFS(Juli!$A$9:$A$39,$A29,Juli!$D$9:$D$39,"&lt;7",Juli!$F$9:$F$39,"F")+COUNTIFS($A$9:$A$38,$A29,$D$9:$D$38,"&lt;7",$F$9:$F$38,"F")+COUNTIFS(September!$A$9:$A$39,$A29,September!$D$9:$D$39,"&lt;7",September!$F$9:$F$39,"F"))</f>
        <v>0</v>
      </c>
      <c r="I29" s="11">
        <v>0</v>
      </c>
      <c r="J29" s="11">
        <v>0</v>
      </c>
      <c r="K29" s="11">
        <v>0</v>
      </c>
      <c r="L29" s="26" t="str">
        <f t="shared" si="12"/>
        <v>07:24</v>
      </c>
      <c r="M29" s="26" t="str">
        <f>IF(OR(F29="N",F29="F"),"0:00",
IF(
OR(
AND(Masterdata!$B$4&lt;&gt;DATE(1900,1,0),Masterdata!$B$4&lt;$E29),
AND(Masterdata!$B$3&lt;&gt;DATE(1900,1,0),Masterdata!$B$3&gt;$E29)
),"0:00",
IF(
$I29&gt;TIME(0,0,0),
IF(
NOT(OR($C29="mandag",$C29="tirsdag",$C29="onsdag",$C29="torsdag",$C29="fredag")),
TEXT($I29,"[tt]:mm"),
IF($I29-$G29&gt;=0,TEXT($I29-$G29,"[tt]:mm"),"-"&amp;TEXT(ABS($I29-$G29),"[tt]:mm"))
),
IF(
NOT(OR($C29="mandag",$C29="tirsdag",$C29="onsdag",$C29="torsdag",$C29="fredag")),
IF($K29-$J29&gt;=0,TEXT($K29-$J29,"[tt]:mm"),"-"&amp;TEXT(ABS($K29-$J29),"[tt]:mm")),
IF(
$K29-$J29-$G29&gt;=0,
TEXT($K29-$J29-$G29,"[tt]:mm"),
"-"&amp;TEXT(ABS($K29-$J29-$G29),"[tt]:mm")
)
)
)
))</f>
        <v>0:00</v>
      </c>
      <c r="N29" s="71" t="str">
        <f t="shared" si="13"/>
        <v>0</v>
      </c>
      <c r="O29" s="25" t="str">
        <f t="shared" si="5"/>
        <v>0:</v>
      </c>
      <c r="P29" s="52" t="str">
        <f t="shared" si="6"/>
        <v>0</v>
      </c>
      <c r="Q29" s="53">
        <f t="shared" si="10"/>
        <v>0</v>
      </c>
      <c r="R29" s="30">
        <f t="shared" si="14"/>
        <v>0</v>
      </c>
      <c r="S29" s="98"/>
      <c r="T29" s="98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</row>
    <row r="30" spans="1:45" x14ac:dyDescent="0.3">
      <c r="A30" s="7">
        <f t="shared" si="2"/>
        <v>34</v>
      </c>
      <c r="B30" s="8">
        <f t="shared" si="9"/>
        <v>46256</v>
      </c>
      <c r="C30" s="9" t="str" cm="1">
        <f t="array" ref="C30">_xlfn.XLOOKUP(E30,Masterdata!$B$31:$B$44,Masterdata!$A$31:$A$44,_xlfn.SWITCH(WEEKDAY($D30, 2), 1, "mandag", 2, "tirsdag", 3, "onsdag", 4, "torsdag", 5, "fredag", 6, "lørdag", 7, "søndag"),0)</f>
        <v>lørdag</v>
      </c>
      <c r="D30" s="29">
        <f t="shared" si="0"/>
        <v>7</v>
      </c>
      <c r="E30" s="70">
        <f t="shared" si="3"/>
        <v>46256</v>
      </c>
      <c r="F30" s="10" t="s">
        <v>23</v>
      </c>
      <c r="G30" s="12">
        <f>IF(OR(AND(F30="N",NOT(OR(C30="mandag",C30="tirsdag",C30="onsdag",C30="torsdag",C30="fredag"))),F30="F"),0,
        IF(OR(
            AND(Masterdata!$B$4&lt;&gt;DATE(1900,1,0), Masterdata!$B$4&lt;$E30),
            AND(Masterdata!$B$3&lt;&gt;DATE(1900,1,0), Masterdata!$B$3&gt;$E30)
        ),
        0, $X$7/(5-H30)))</f>
        <v>0</v>
      </c>
      <c r="H30" s="86">
        <f>SUMPRODUCT(COUNTIFS(Juli!$A$9:$A$39,$A30,Juli!$D$9:$D$39,"&lt;7",Juli!$F$9:$F$39,"F")+COUNTIFS($A$9:$A$38,$A30,$D$9:$D$38,"&lt;7",$F$9:$F$38,"F")+COUNTIFS(September!$A$9:$A$39,$A30,September!$D$9:$D$39,"&lt;7",September!$F$9:$F$39,"F"))</f>
        <v>0</v>
      </c>
      <c r="I30" s="11">
        <v>0</v>
      </c>
      <c r="J30" s="11">
        <v>0</v>
      </c>
      <c r="K30" s="11">
        <v>0</v>
      </c>
      <c r="L30" s="26" t="str">
        <f t="shared" si="12"/>
        <v>00:00</v>
      </c>
      <c r="M30" s="26" t="str">
        <f>IF(OR(F30="N",F30="F"),"0:00",
IF(
OR(
AND(Masterdata!$B$4&lt;&gt;DATE(1900,1,0),Masterdata!$B$4&lt;$E30),
AND(Masterdata!$B$3&lt;&gt;DATE(1900,1,0),Masterdata!$B$3&gt;$E30)
),"0:00",
IF(
$I30&gt;TIME(0,0,0),
IF(
NOT(OR($C30="mandag",$C30="tirsdag",$C30="onsdag",$C30="torsdag",$C30="fredag")),
TEXT($I30,"[tt]:mm"),
IF($I30-$G30&gt;=0,TEXT($I30-$G30,"[tt]:mm"),"-"&amp;TEXT(ABS($I30-$G30),"[tt]:mm"))
),
IF(
NOT(OR($C30="mandag",$C30="tirsdag",$C30="onsdag",$C30="torsdag",$C30="fredag")),
IF($K30-$J30&gt;=0,TEXT($K30-$J30,"[tt]:mm"),"-"&amp;TEXT(ABS($K30-$J30),"[tt]:mm")),
IF(
$K30-$J30-$G30&gt;=0,
TEXT($K30-$J30-$G30,"[tt]:mm"),
"-"&amp;TEXT(ABS($K30-$J30-$G30),"[tt]:mm")
)
)
)
))</f>
        <v>0:00</v>
      </c>
      <c r="N30" s="71" t="str">
        <f t="shared" si="13"/>
        <v>0</v>
      </c>
      <c r="O30" s="25" t="str">
        <f t="shared" si="5"/>
        <v>0:</v>
      </c>
      <c r="P30" s="52" t="str">
        <f t="shared" si="6"/>
        <v>0</v>
      </c>
      <c r="Q30" s="53">
        <f t="shared" si="10"/>
        <v>0</v>
      </c>
      <c r="R30" s="30">
        <f t="shared" si="14"/>
        <v>0</v>
      </c>
      <c r="S30" s="98"/>
      <c r="T30" s="98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</row>
    <row r="31" spans="1:45" x14ac:dyDescent="0.3">
      <c r="A31" s="7">
        <f t="shared" si="2"/>
        <v>34</v>
      </c>
      <c r="B31" s="8">
        <f t="shared" si="9"/>
        <v>46257</v>
      </c>
      <c r="C31" s="9" t="str" cm="1">
        <f t="array" ref="C31">_xlfn.XLOOKUP(E31,Masterdata!$B$31:$B$44,Masterdata!$A$31:$A$44,_xlfn.SWITCH(WEEKDAY($D31, 2), 1, "mandag", 2, "tirsdag", 3, "onsdag", 4, "torsdag", 5, "fredag", 6, "lørdag", 7, "søndag"),0)</f>
        <v>søndag</v>
      </c>
      <c r="D31" s="29">
        <f t="shared" si="0"/>
        <v>8</v>
      </c>
      <c r="E31" s="70">
        <f t="shared" si="3"/>
        <v>46257</v>
      </c>
      <c r="F31" s="10" t="s">
        <v>23</v>
      </c>
      <c r="G31" s="12">
        <f>IF(OR(AND(F31="N",NOT(OR(C31="mandag",C31="tirsdag",C31="onsdag",C31="torsdag",C31="fredag"))),F31="F"),0,
        IF(OR(
            AND(Masterdata!$B$4&lt;&gt;DATE(1900,1,0), Masterdata!$B$4&lt;$E31),
            AND(Masterdata!$B$3&lt;&gt;DATE(1900,1,0), Masterdata!$B$3&gt;$E31)
        ),
        0, $X$7/(5-H31)))</f>
        <v>0</v>
      </c>
      <c r="H31" s="86">
        <f>SUMPRODUCT(COUNTIFS(Juli!$A$9:$A$39,$A31,Juli!$D$9:$D$39,"&lt;7",Juli!$F$9:$F$39,"F")+COUNTIFS($A$9:$A$38,$A31,$D$9:$D$38,"&lt;7",$F$9:$F$38,"F")+COUNTIFS(September!$A$9:$A$39,$A31,September!$D$9:$D$39,"&lt;7",September!$F$9:$F$39,"F"))</f>
        <v>0</v>
      </c>
      <c r="I31" s="11">
        <v>0</v>
      </c>
      <c r="J31" s="11">
        <v>0</v>
      </c>
      <c r="K31" s="11">
        <v>0</v>
      </c>
      <c r="L31" s="26" t="str">
        <f t="shared" si="12"/>
        <v>00:00</v>
      </c>
      <c r="M31" s="26" t="str">
        <f>IF(OR(F31="N",F31="F"),"0:00",
IF(
OR(
AND(Masterdata!$B$4&lt;&gt;DATE(1900,1,0),Masterdata!$B$4&lt;$E31),
AND(Masterdata!$B$3&lt;&gt;DATE(1900,1,0),Masterdata!$B$3&gt;$E31)
),"0:00",
IF(
$I31&gt;TIME(0,0,0),
IF(
NOT(OR($C31="mandag",$C31="tirsdag",$C31="onsdag",$C31="torsdag",$C31="fredag")),
TEXT($I31,"[tt]:mm"),
IF($I31-$G31&gt;=0,TEXT($I31-$G31,"[tt]:mm"),"-"&amp;TEXT(ABS($I31-$G31),"[tt]:mm"))
),
IF(
NOT(OR($C31="mandag",$C31="tirsdag",$C31="onsdag",$C31="torsdag",$C31="fredag")),
IF($K31-$J31&gt;=0,TEXT($K31-$J31,"[tt]:mm"),"-"&amp;TEXT(ABS($K31-$J31),"[tt]:mm")),
IF(
$K31-$J31-$G31&gt;=0,
TEXT($K31-$J31-$G31,"[tt]:mm"),
"-"&amp;TEXT(ABS($K31-$J31-$G31),"[tt]:mm")
)
)
)
))</f>
        <v>0:00</v>
      </c>
      <c r="N31" s="71" t="str">
        <f t="shared" si="13"/>
        <v>0</v>
      </c>
      <c r="O31" s="25" t="str">
        <f t="shared" si="5"/>
        <v>0:</v>
      </c>
      <c r="P31" s="52" t="str">
        <f t="shared" si="6"/>
        <v>0</v>
      </c>
      <c r="Q31" s="53">
        <f t="shared" si="10"/>
        <v>0</v>
      </c>
      <c r="R31" s="30">
        <f t="shared" si="14"/>
        <v>0</v>
      </c>
      <c r="S31" s="98"/>
      <c r="T31" s="98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</row>
    <row r="32" spans="1:45" x14ac:dyDescent="0.3">
      <c r="A32" s="7">
        <f t="shared" si="2"/>
        <v>35</v>
      </c>
      <c r="B32" s="8">
        <f t="shared" si="9"/>
        <v>46258</v>
      </c>
      <c r="C32" s="9" t="str" cm="1">
        <f t="array" ref="C32">_xlfn.XLOOKUP(E32,Masterdata!$B$31:$B$44,Masterdata!$A$31:$A$44,_xlfn.SWITCH(WEEKDAY($D32, 2), 1, "mandag", 2, "tirsdag", 3, "onsdag", 4, "torsdag", 5, "fredag", 6, "lørdag", 7, "søndag"),0)</f>
        <v>mandag</v>
      </c>
      <c r="D32" s="29">
        <f t="shared" si="0"/>
        <v>2</v>
      </c>
      <c r="E32" s="70">
        <f t="shared" si="3"/>
        <v>46258</v>
      </c>
      <c r="F32" s="10" t="s">
        <v>23</v>
      </c>
      <c r="G32" s="12">
        <f>IF(OR(AND(F32="N",NOT(OR(C32="mandag",C32="tirsdag",C32="onsdag",C32="torsdag",C32="fredag"))),F32="F"),0,
        IF(OR(
            AND(Masterdata!$B$4&lt;&gt;DATE(1900,1,0), Masterdata!$B$4&lt;$E32),
            AND(Masterdata!$B$3&lt;&gt;DATE(1900,1,0), Masterdata!$B$3&gt;$E32)
        ),
        0, $X$7/(5-H32)))</f>
        <v>0.30833333333333335</v>
      </c>
      <c r="H32" s="86">
        <f>SUMPRODUCT(COUNTIFS(Juli!$A$9:$A$39,$A32,Juli!$D$9:$D$39,"&lt;7",Juli!$F$9:$F$39,"F")+COUNTIFS($A$9:$A$38,$A32,$D$9:$D$38,"&lt;7",$F$9:$F$38,"F")+COUNTIFS(September!$A$9:$A$39,$A32,September!$D$9:$D$39,"&lt;7",September!$F$9:$F$39,"F"))</f>
        <v>0</v>
      </c>
      <c r="I32" s="11">
        <v>0</v>
      </c>
      <c r="J32" s="11">
        <v>0</v>
      </c>
      <c r="K32" s="11">
        <v>0</v>
      </c>
      <c r="L32" s="26" t="str">
        <f t="shared" si="12"/>
        <v>07:24</v>
      </c>
      <c r="M32" s="26" t="str">
        <f>IF(OR(F32="N",F32="F"),"0:00",
IF(
OR(
AND(Masterdata!$B$4&lt;&gt;DATE(1900,1,0),Masterdata!$B$4&lt;$E32),
AND(Masterdata!$B$3&lt;&gt;DATE(1900,1,0),Masterdata!$B$3&gt;$E32)
),"0:00",
IF(
$I32&gt;TIME(0,0,0),
IF(
NOT(OR($C32="mandag",$C32="tirsdag",$C32="onsdag",$C32="torsdag",$C32="fredag")),
TEXT($I32,"[tt]:mm"),
IF($I32-$G32&gt;=0,TEXT($I32-$G32,"[tt]:mm"),"-"&amp;TEXT(ABS($I32-$G32),"[tt]:mm"))
),
IF(
NOT(OR($C32="mandag",$C32="tirsdag",$C32="onsdag",$C32="torsdag",$C32="fredag")),
IF($K32-$J32&gt;=0,TEXT($K32-$J32,"[tt]:mm"),"-"&amp;TEXT(ABS($K32-$J32),"[tt]:mm")),
IF(
$K32-$J32-$G32&gt;=0,
TEXT($K32-$J32-$G32,"[tt]:mm"),
"-"&amp;TEXT(ABS($K32-$J32-$G32),"[tt]:mm")
)
)
)
))</f>
        <v>0:00</v>
      </c>
      <c r="N32" s="71" t="str">
        <f t="shared" si="13"/>
        <v>0</v>
      </c>
      <c r="O32" s="25" t="str">
        <f t="shared" si="5"/>
        <v>0:</v>
      </c>
      <c r="P32" s="52" t="str">
        <f t="shared" si="6"/>
        <v>0</v>
      </c>
      <c r="Q32" s="53">
        <f t="shared" si="10"/>
        <v>0</v>
      </c>
      <c r="R32" s="30">
        <f t="shared" si="14"/>
        <v>0</v>
      </c>
      <c r="S32" s="98"/>
      <c r="T32" s="98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</row>
    <row r="33" spans="1:45" x14ac:dyDescent="0.3">
      <c r="A33" s="7">
        <f t="shared" si="2"/>
        <v>35</v>
      </c>
      <c r="B33" s="8">
        <f t="shared" si="9"/>
        <v>46259</v>
      </c>
      <c r="C33" s="9" t="str" cm="1">
        <f t="array" ref="C33">_xlfn.XLOOKUP(E33,Masterdata!$B$31:$B$44,Masterdata!$A$31:$A$44,_xlfn.SWITCH(WEEKDAY($D33, 2), 1, "mandag", 2, "tirsdag", 3, "onsdag", 4, "torsdag", 5, "fredag", 6, "lørdag", 7, "søndag"),0)</f>
        <v>tirsdag</v>
      </c>
      <c r="D33" s="29">
        <f t="shared" si="0"/>
        <v>3</v>
      </c>
      <c r="E33" s="70">
        <f t="shared" si="3"/>
        <v>46259</v>
      </c>
      <c r="F33" s="10" t="s">
        <v>23</v>
      </c>
      <c r="G33" s="12">
        <f>IF(OR(AND(F33="N",NOT(OR(C33="mandag",C33="tirsdag",C33="onsdag",C33="torsdag",C33="fredag"))),F33="F"),0,
        IF(OR(
            AND(Masterdata!$B$4&lt;&gt;DATE(1900,1,0), Masterdata!$B$4&lt;$E33),
            AND(Masterdata!$B$3&lt;&gt;DATE(1900,1,0), Masterdata!$B$3&gt;$E33)
        ),
        0, $X$7/(5-H33)))</f>
        <v>0.30833333333333335</v>
      </c>
      <c r="H33" s="86">
        <f>SUMPRODUCT(COUNTIFS(Juli!$A$9:$A$39,$A33,Juli!$D$9:$D$39,"&lt;7",Juli!$F$9:$F$39,"F")+COUNTIFS($A$9:$A$38,$A33,$D$9:$D$38,"&lt;7",$F$9:$F$38,"F")+COUNTIFS(September!$A$9:$A$39,$A33,September!$D$9:$D$39,"&lt;7",September!$F$9:$F$39,"F"))</f>
        <v>0</v>
      </c>
      <c r="I33" s="11">
        <v>0</v>
      </c>
      <c r="J33" s="11">
        <v>0</v>
      </c>
      <c r="K33" s="11">
        <v>0</v>
      </c>
      <c r="L33" s="26" t="str">
        <f t="shared" si="12"/>
        <v>07:24</v>
      </c>
      <c r="M33" s="26" t="str">
        <f>IF(OR(F33="N",F33="F"),"0:00",
IF(
OR(
AND(Masterdata!$B$4&lt;&gt;DATE(1900,1,0),Masterdata!$B$4&lt;$E33),
AND(Masterdata!$B$3&lt;&gt;DATE(1900,1,0),Masterdata!$B$3&gt;$E33)
),"0:00",
IF(
$I33&gt;TIME(0,0,0),
IF(
NOT(OR($C33="mandag",$C33="tirsdag",$C33="onsdag",$C33="torsdag",$C33="fredag")),
TEXT($I33,"[tt]:mm"),
IF($I33-$G33&gt;=0,TEXT($I33-$G33,"[tt]:mm"),"-"&amp;TEXT(ABS($I33-$G33),"[tt]:mm"))
),
IF(
NOT(OR($C33="mandag",$C33="tirsdag",$C33="onsdag",$C33="torsdag",$C33="fredag")),
IF($K33-$J33&gt;=0,TEXT($K33-$J33,"[tt]:mm"),"-"&amp;TEXT(ABS($K33-$J33),"[tt]:mm")),
IF(
$K33-$J33-$G33&gt;=0,
TEXT($K33-$J33-$G33,"[tt]:mm"),
"-"&amp;TEXT(ABS($K33-$J33-$G33),"[tt]:mm")
)
)
)
))</f>
        <v>0:00</v>
      </c>
      <c r="N33" s="71" t="str">
        <f t="shared" si="13"/>
        <v>0</v>
      </c>
      <c r="O33" s="25" t="str">
        <f t="shared" si="5"/>
        <v>0:</v>
      </c>
      <c r="P33" s="52" t="str">
        <f t="shared" si="6"/>
        <v>0</v>
      </c>
      <c r="Q33" s="53">
        <f t="shared" si="10"/>
        <v>0</v>
      </c>
      <c r="R33" s="30">
        <f t="shared" si="14"/>
        <v>0</v>
      </c>
      <c r="S33" s="98"/>
      <c r="T33" s="98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</row>
    <row r="34" spans="1:45" x14ac:dyDescent="0.3">
      <c r="A34" s="7">
        <f t="shared" si="2"/>
        <v>35</v>
      </c>
      <c r="B34" s="8">
        <f t="shared" si="9"/>
        <v>46260</v>
      </c>
      <c r="C34" s="9" t="str" cm="1">
        <f t="array" ref="C34">_xlfn.XLOOKUP(E34,Masterdata!$B$31:$B$44,Masterdata!$A$31:$A$44,_xlfn.SWITCH(WEEKDAY($D34, 2), 1, "mandag", 2, "tirsdag", 3, "onsdag", 4, "torsdag", 5, "fredag", 6, "lørdag", 7, "søndag"),0)</f>
        <v>onsdag</v>
      </c>
      <c r="D34" s="29">
        <f t="shared" si="0"/>
        <v>4</v>
      </c>
      <c r="E34" s="70">
        <f t="shared" si="3"/>
        <v>46260</v>
      </c>
      <c r="F34" s="10" t="s">
        <v>23</v>
      </c>
      <c r="G34" s="12">
        <f>IF(OR(AND(F34="N",NOT(OR(C34="mandag",C34="tirsdag",C34="onsdag",C34="torsdag",C34="fredag"))),F34="F"),0,
        IF(OR(
            AND(Masterdata!$B$4&lt;&gt;DATE(1900,1,0), Masterdata!$B$4&lt;$E34),
            AND(Masterdata!$B$3&lt;&gt;DATE(1900,1,0), Masterdata!$B$3&gt;$E34)
        ),
        0, $X$7/(5-H34)))</f>
        <v>0.30833333333333335</v>
      </c>
      <c r="H34" s="86">
        <f>SUMPRODUCT(COUNTIFS(Juli!$A$9:$A$39,$A34,Juli!$D$9:$D$39,"&lt;7",Juli!$F$9:$F$39,"F")+COUNTIFS($A$9:$A$38,$A34,$D$9:$D$38,"&lt;7",$F$9:$F$38,"F")+COUNTIFS(September!$A$9:$A$39,$A34,September!$D$9:$D$39,"&lt;7",September!$F$9:$F$39,"F"))</f>
        <v>0</v>
      </c>
      <c r="I34" s="11">
        <v>0</v>
      </c>
      <c r="J34" s="11">
        <v>0</v>
      </c>
      <c r="K34" s="11">
        <v>0</v>
      </c>
      <c r="L34" s="26" t="str">
        <f t="shared" si="12"/>
        <v>07:24</v>
      </c>
      <c r="M34" s="26" t="str">
        <f>IF(OR(F34="N",F34="F"),"0:00",
IF(
OR(
AND(Masterdata!$B$4&lt;&gt;DATE(1900,1,0),Masterdata!$B$4&lt;$E34),
AND(Masterdata!$B$3&lt;&gt;DATE(1900,1,0),Masterdata!$B$3&gt;$E34)
),"0:00",
IF(
$I34&gt;TIME(0,0,0),
IF(
NOT(OR($C34="mandag",$C34="tirsdag",$C34="onsdag",$C34="torsdag",$C34="fredag")),
TEXT($I34,"[tt]:mm"),
IF($I34-$G34&gt;=0,TEXT($I34-$G34,"[tt]:mm"),"-"&amp;TEXT(ABS($I34-$G34),"[tt]:mm"))
),
IF(
NOT(OR($C34="mandag",$C34="tirsdag",$C34="onsdag",$C34="torsdag",$C34="fredag")),
IF($K34-$J34&gt;=0,TEXT($K34-$J34,"[tt]:mm"),"-"&amp;TEXT(ABS($K34-$J34),"[tt]:mm")),
IF(
$K34-$J34-$G34&gt;=0,
TEXT($K34-$J34-$G34,"[tt]:mm"),
"-"&amp;TEXT(ABS($K34-$J34-$G34),"[tt]:mm")
)
)
)
))</f>
        <v>0:00</v>
      </c>
      <c r="N34" s="71" t="str">
        <f t="shared" si="13"/>
        <v>0</v>
      </c>
      <c r="O34" s="25" t="str">
        <f t="shared" si="5"/>
        <v>0:</v>
      </c>
      <c r="P34" s="52" t="str">
        <f t="shared" si="6"/>
        <v>0</v>
      </c>
      <c r="Q34" s="53">
        <f t="shared" si="10"/>
        <v>0</v>
      </c>
      <c r="R34" s="30">
        <f t="shared" si="14"/>
        <v>0</v>
      </c>
      <c r="S34" s="98"/>
      <c r="T34" s="98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</row>
    <row r="35" spans="1:45" x14ac:dyDescent="0.3">
      <c r="A35" s="7">
        <f t="shared" si="2"/>
        <v>35</v>
      </c>
      <c r="B35" s="8">
        <f t="shared" si="9"/>
        <v>46261</v>
      </c>
      <c r="C35" s="9" t="str" cm="1">
        <f t="array" ref="C35">_xlfn.XLOOKUP(E35,Masterdata!$B$31:$B$44,Masterdata!$A$31:$A$44,_xlfn.SWITCH(WEEKDAY($D35, 2), 1, "mandag", 2, "tirsdag", 3, "onsdag", 4, "torsdag", 5, "fredag", 6, "lørdag", 7, "søndag"),0)</f>
        <v>torsdag</v>
      </c>
      <c r="D35" s="29">
        <f t="shared" si="0"/>
        <v>5</v>
      </c>
      <c r="E35" s="70">
        <f t="shared" si="3"/>
        <v>46261</v>
      </c>
      <c r="F35" s="10" t="s">
        <v>23</v>
      </c>
      <c r="G35" s="12">
        <f>IF(OR(AND(F35="N",NOT(OR(C35="mandag",C35="tirsdag",C35="onsdag",C35="torsdag",C35="fredag"))),F35="F"),0,
        IF(OR(
            AND(Masterdata!$B$4&lt;&gt;DATE(1900,1,0), Masterdata!$B$4&lt;$E35),
            AND(Masterdata!$B$3&lt;&gt;DATE(1900,1,0), Masterdata!$B$3&gt;$E35)
        ),
        0, $X$7/(5-H35)))</f>
        <v>0.30833333333333335</v>
      </c>
      <c r="H35" s="86">
        <f>SUMPRODUCT(COUNTIFS(Juli!$A$9:$A$39,$A35,Juli!$D$9:$D$39,"&lt;7",Juli!$F$9:$F$39,"F")+COUNTIFS($A$9:$A$38,$A35,$D$9:$D$38,"&lt;7",$F$9:$F$38,"F")+COUNTIFS(September!$A$9:$A$39,$A35,September!$D$9:$D$39,"&lt;7",September!$F$9:$F$39,"F"))</f>
        <v>0</v>
      </c>
      <c r="I35" s="11">
        <v>0</v>
      </c>
      <c r="J35" s="11">
        <v>0</v>
      </c>
      <c r="K35" s="11">
        <v>0</v>
      </c>
      <c r="L35" s="26" t="str">
        <f t="shared" si="12"/>
        <v>07:24</v>
      </c>
      <c r="M35" s="26" t="str">
        <f>IF(OR(F35="N",F35="F"),"0:00",
IF(
OR(
AND(Masterdata!$B$4&lt;&gt;DATE(1900,1,0),Masterdata!$B$4&lt;$E35),
AND(Masterdata!$B$3&lt;&gt;DATE(1900,1,0),Masterdata!$B$3&gt;$E35)
),"0:00",
IF(
$I35&gt;TIME(0,0,0),
IF(
NOT(OR($C35="mandag",$C35="tirsdag",$C35="onsdag",$C35="torsdag",$C35="fredag")),
TEXT($I35,"[tt]:mm"),
IF($I35-$G35&gt;=0,TEXT($I35-$G35,"[tt]:mm"),"-"&amp;TEXT(ABS($I35-$G35),"[tt]:mm"))
),
IF(
NOT(OR($C35="mandag",$C35="tirsdag",$C35="onsdag",$C35="torsdag",$C35="fredag")),
IF($K35-$J35&gt;=0,TEXT($K35-$J35,"[tt]:mm"),"-"&amp;TEXT(ABS($K35-$J35),"[tt]:mm")),
IF(
$K35-$J35-$G35&gt;=0,
TEXT($K35-$J35-$G35,"[tt]:mm"),
"-"&amp;TEXT(ABS($K35-$J35-$G35),"[tt]:mm")
)
)
)
))</f>
        <v>0:00</v>
      </c>
      <c r="N35" s="71" t="str">
        <f t="shared" si="13"/>
        <v>0</v>
      </c>
      <c r="O35" s="25" t="str">
        <f t="shared" si="5"/>
        <v>0:</v>
      </c>
      <c r="P35" s="52" t="str">
        <f t="shared" si="6"/>
        <v>0</v>
      </c>
      <c r="Q35" s="53">
        <f t="shared" si="10"/>
        <v>0</v>
      </c>
      <c r="R35" s="30">
        <f t="shared" si="14"/>
        <v>0</v>
      </c>
      <c r="S35" s="98"/>
      <c r="T35" s="98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</row>
    <row r="36" spans="1:45" x14ac:dyDescent="0.3">
      <c r="A36" s="7">
        <f t="shared" si="2"/>
        <v>35</v>
      </c>
      <c r="B36" s="8">
        <f t="shared" si="9"/>
        <v>46262</v>
      </c>
      <c r="C36" s="9" t="str" cm="1">
        <f t="array" ref="C36">_xlfn.XLOOKUP(E36,Masterdata!$B$31:$B$44,Masterdata!$A$31:$A$44,_xlfn.SWITCH(WEEKDAY($D36, 2), 1, "mandag", 2, "tirsdag", 3, "onsdag", 4, "torsdag", 5, "fredag", 6, "lørdag", 7, "søndag"),0)</f>
        <v>fredag</v>
      </c>
      <c r="D36" s="29">
        <f t="shared" si="0"/>
        <v>6</v>
      </c>
      <c r="E36" s="70">
        <f t="shared" si="3"/>
        <v>46262</v>
      </c>
      <c r="F36" s="10" t="s">
        <v>23</v>
      </c>
      <c r="G36" s="12">
        <f>IF(OR(AND(F36="N",NOT(OR(C36="mandag",C36="tirsdag",C36="onsdag",C36="torsdag",C36="fredag"))),F36="F"),0,
        IF(OR(
            AND(Masterdata!$B$4&lt;&gt;DATE(1900,1,0), Masterdata!$B$4&lt;$E36),
            AND(Masterdata!$B$3&lt;&gt;DATE(1900,1,0), Masterdata!$B$3&gt;$E36)
        ),
        0, $X$7/(5-H36)))</f>
        <v>0.30833333333333335</v>
      </c>
      <c r="H36" s="86">
        <f>SUMPRODUCT(COUNTIFS(Juli!$A$9:$A$39,$A36,Juli!$D$9:$D$39,"&lt;7",Juli!$F$9:$F$39,"F")+COUNTIFS($A$9:$A$38,$A36,$D$9:$D$38,"&lt;7",$F$9:$F$38,"F")+COUNTIFS(September!$A$9:$A$39,$A36,September!$D$9:$D$39,"&lt;7",September!$F$9:$F$39,"F"))</f>
        <v>0</v>
      </c>
      <c r="I36" s="11">
        <v>0</v>
      </c>
      <c r="J36" s="11">
        <v>0</v>
      </c>
      <c r="K36" s="11">
        <v>0</v>
      </c>
      <c r="L36" s="26" t="str">
        <f t="shared" si="12"/>
        <v>07:24</v>
      </c>
      <c r="M36" s="26" t="str">
        <f>IF(OR(F36="N",F36="F"),"0:00",
IF(
OR(
AND(Masterdata!$B$4&lt;&gt;DATE(1900,1,0),Masterdata!$B$4&lt;$E36),
AND(Masterdata!$B$3&lt;&gt;DATE(1900,1,0),Masterdata!$B$3&gt;$E36)
),"0:00",
IF(
$I36&gt;TIME(0,0,0),
IF(
NOT(OR($C36="mandag",$C36="tirsdag",$C36="onsdag",$C36="torsdag",$C36="fredag")),
TEXT($I36,"[tt]:mm"),
IF($I36-$G36&gt;=0,TEXT($I36-$G36,"[tt]:mm"),"-"&amp;TEXT(ABS($I36-$G36),"[tt]:mm"))
),
IF(
NOT(OR($C36="mandag",$C36="tirsdag",$C36="onsdag",$C36="torsdag",$C36="fredag")),
IF($K36-$J36&gt;=0,TEXT($K36-$J36,"[tt]:mm"),"-"&amp;TEXT(ABS($K36-$J36),"[tt]:mm")),
IF(
$K36-$J36-$G36&gt;=0,
TEXT($K36-$J36-$G36,"[tt]:mm"),
"-"&amp;TEXT(ABS($K36-$J36-$G36),"[tt]:mm")
)
)
)
))</f>
        <v>0:00</v>
      </c>
      <c r="N36" s="71" t="str">
        <f t="shared" ref="N36:N39" si="15">LEFT(M36,1)</f>
        <v>0</v>
      </c>
      <c r="O36" s="25" t="str">
        <f t="shared" si="5"/>
        <v>0:</v>
      </c>
      <c r="P36" s="52" t="str">
        <f t="shared" si="6"/>
        <v>0</v>
      </c>
      <c r="Q36" s="53">
        <f t="shared" ref="Q36:Q39" si="16">P36/60</f>
        <v>0</v>
      </c>
      <c r="R36" s="30">
        <f t="shared" ref="R36:R39" si="17">IF(N36="-",O36-Q36,O36+Q36)</f>
        <v>0</v>
      </c>
      <c r="S36" s="98"/>
      <c r="T36" s="98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</row>
    <row r="37" spans="1:45" x14ac:dyDescent="0.3">
      <c r="A37" s="7">
        <f t="shared" si="2"/>
        <v>35</v>
      </c>
      <c r="B37" s="8">
        <f t="shared" si="9"/>
        <v>46263</v>
      </c>
      <c r="C37" s="9" t="str" cm="1">
        <f t="array" ref="C37">_xlfn.XLOOKUP(E37,Masterdata!$B$31:$B$44,Masterdata!$A$31:$A$44,_xlfn.SWITCH(WEEKDAY($D37, 2), 1, "mandag", 2, "tirsdag", 3, "onsdag", 4, "torsdag", 5, "fredag", 6, "lørdag", 7, "søndag"),0)</f>
        <v>lørdag</v>
      </c>
      <c r="D37" s="29">
        <f t="shared" si="0"/>
        <v>7</v>
      </c>
      <c r="E37" s="70">
        <f t="shared" si="3"/>
        <v>46263</v>
      </c>
      <c r="F37" s="10" t="s">
        <v>23</v>
      </c>
      <c r="G37" s="12">
        <f>IF(OR(AND(F37="N",NOT(OR(C37="mandag",C37="tirsdag",C37="onsdag",C37="torsdag",C37="fredag"))),F37="F"),0,
        IF(OR(
            AND(Masterdata!$B$4&lt;&gt;DATE(1900,1,0), Masterdata!$B$4&lt;$E37),
            AND(Masterdata!$B$3&lt;&gt;DATE(1900,1,0), Masterdata!$B$3&gt;$E37)
        ),
        0, $X$7/(5-H37)))</f>
        <v>0</v>
      </c>
      <c r="H37" s="86">
        <f>SUMPRODUCT(COUNTIFS(Juli!$A$9:$A$39,$A37,Juli!$D$9:$D$39,"&lt;7",Juli!$F$9:$F$39,"F")+COUNTIFS($A$9:$A$38,$A37,$D$9:$D$38,"&lt;7",$F$9:$F$38,"F")+COUNTIFS(September!$A$9:$A$39,$A37,September!$D$9:$D$39,"&lt;7",September!$F$9:$F$39,"F"))</f>
        <v>0</v>
      </c>
      <c r="I37" s="11">
        <v>0</v>
      </c>
      <c r="J37" s="11">
        <v>0</v>
      </c>
      <c r="K37" s="11">
        <v>0</v>
      </c>
      <c r="L37" s="26" t="str">
        <f t="shared" si="12"/>
        <v>00:00</v>
      </c>
      <c r="M37" s="26" t="str">
        <f>IF(OR(F37="N",F37="F"),"0:00",
IF(
OR(
AND(Masterdata!$B$4&lt;&gt;DATE(1900,1,0),Masterdata!$B$4&lt;$E37),
AND(Masterdata!$B$3&lt;&gt;DATE(1900,1,0),Masterdata!$B$3&gt;$E37)
),"0:00",
IF(
$I37&gt;TIME(0,0,0),
IF(
NOT(OR($C37="mandag",$C37="tirsdag",$C37="onsdag",$C37="torsdag",$C37="fredag")),
TEXT($I37,"[tt]:mm"),
IF($I37-$G37&gt;=0,TEXT($I37-$G37,"[tt]:mm"),"-"&amp;TEXT(ABS($I37-$G37),"[tt]:mm"))
),
IF(
NOT(OR($C37="mandag",$C37="tirsdag",$C37="onsdag",$C37="torsdag",$C37="fredag")),
IF($K37-$J37&gt;=0,TEXT($K37-$J37,"[tt]:mm"),"-"&amp;TEXT(ABS($K37-$J37),"[tt]:mm")),
IF(
$K37-$J37-$G37&gt;=0,
TEXT($K37-$J37-$G37,"[tt]:mm"),
"-"&amp;TEXT(ABS($K37-$J37-$G37),"[tt]:mm")
)
)
)
))</f>
        <v>0:00</v>
      </c>
      <c r="N37" s="71" t="str">
        <f t="shared" si="15"/>
        <v>0</v>
      </c>
      <c r="O37" s="25" t="str">
        <f t="shared" si="5"/>
        <v>0:</v>
      </c>
      <c r="P37" s="52" t="str">
        <f t="shared" si="6"/>
        <v>0</v>
      </c>
      <c r="Q37" s="53">
        <f t="shared" si="16"/>
        <v>0</v>
      </c>
      <c r="R37" s="30">
        <f t="shared" si="17"/>
        <v>0</v>
      </c>
      <c r="S37" s="98"/>
      <c r="T37" s="98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</row>
    <row r="38" spans="1:45" x14ac:dyDescent="0.3">
      <c r="A38" s="7">
        <f t="shared" si="2"/>
        <v>35</v>
      </c>
      <c r="B38" s="8">
        <f t="shared" si="9"/>
        <v>46264</v>
      </c>
      <c r="C38" s="9" t="str" cm="1">
        <f t="array" ref="C38">_xlfn.XLOOKUP(E38,Masterdata!$B$31:$B$44,Masterdata!$A$31:$A$44,_xlfn.SWITCH(WEEKDAY($D38, 2), 1, "mandag", 2, "tirsdag", 3, "onsdag", 4, "torsdag", 5, "fredag", 6, "lørdag", 7, "søndag"),0)</f>
        <v>søndag</v>
      </c>
      <c r="D38" s="29">
        <f t="shared" si="0"/>
        <v>8</v>
      </c>
      <c r="E38" s="70">
        <f t="shared" si="3"/>
        <v>46264</v>
      </c>
      <c r="F38" s="10" t="s">
        <v>23</v>
      </c>
      <c r="G38" s="12">
        <f>IF(OR(AND(F38="N",NOT(OR(C38="mandag",C38="tirsdag",C38="onsdag",C38="torsdag",C38="fredag"))),F38="F"),0,
        IF(OR(
            AND(Masterdata!$B$4&lt;&gt;DATE(1900,1,0), Masterdata!$B$4&lt;$E38),
            AND(Masterdata!$B$3&lt;&gt;DATE(1900,1,0), Masterdata!$B$3&gt;$E38)
        ),
        0, $X$7/(5-H38)))</f>
        <v>0</v>
      </c>
      <c r="H38" s="86">
        <f>SUMPRODUCT(COUNTIFS(Juli!$A$9:$A$39,$A38,Juli!$D$9:$D$39,"&lt;7",Juli!$F$9:$F$39,"F")+COUNTIFS($A$9:$A$38,$A38,$D$9:$D$38,"&lt;7",$F$9:$F$38,"F")+COUNTIFS(September!$A$9:$A$39,$A38,September!$D$9:$D$39,"&lt;7",September!$F$9:$F$39,"F"))</f>
        <v>0</v>
      </c>
      <c r="I38" s="11">
        <v>0</v>
      </c>
      <c r="J38" s="11">
        <v>0</v>
      </c>
      <c r="K38" s="11">
        <v>0</v>
      </c>
      <c r="L38" s="26" t="str">
        <f t="shared" si="12"/>
        <v>00:00</v>
      </c>
      <c r="M38" s="26" t="str">
        <f>IF(OR(F38="N",F38="F"),"0:00",
IF(
OR(
AND(Masterdata!$B$4&lt;&gt;DATE(1900,1,0),Masterdata!$B$4&lt;$E38),
AND(Masterdata!$B$3&lt;&gt;DATE(1900,1,0),Masterdata!$B$3&gt;$E38)
),"0:00",
IF(
$I38&gt;TIME(0,0,0),
IF(
NOT(OR($C38="mandag",$C38="tirsdag",$C38="onsdag",$C38="torsdag",$C38="fredag")),
TEXT($I38,"[tt]:mm"),
IF($I38-$G38&gt;=0,TEXT($I38-$G38,"[tt]:mm"),"-"&amp;TEXT(ABS($I38-$G38),"[tt]:mm"))
),
IF(
NOT(OR($C38="mandag",$C38="tirsdag",$C38="onsdag",$C38="torsdag",$C38="fredag")),
IF($K38-$J38&gt;=0,TEXT($K38-$J38,"[tt]:mm"),"-"&amp;TEXT(ABS($K38-$J38),"[tt]:mm")),
IF(
$K38-$J38-$G38&gt;=0,
TEXT($K38-$J38-$G38,"[tt]:mm"),
"-"&amp;TEXT(ABS($K38-$J38-$G38),"[tt]:mm")
)
)
)
))</f>
        <v>0:00</v>
      </c>
      <c r="N38" s="71" t="str">
        <f t="shared" si="15"/>
        <v>0</v>
      </c>
      <c r="O38" s="25" t="str">
        <f t="shared" si="5"/>
        <v>0:</v>
      </c>
      <c r="P38" s="52" t="str">
        <f t="shared" si="6"/>
        <v>0</v>
      </c>
      <c r="Q38" s="53">
        <f t="shared" si="16"/>
        <v>0</v>
      </c>
      <c r="R38" s="30">
        <f t="shared" si="17"/>
        <v>0</v>
      </c>
      <c r="S38" s="98"/>
      <c r="T38" s="98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</row>
    <row r="39" spans="1:45" x14ac:dyDescent="0.3">
      <c r="A39" s="7">
        <f t="shared" si="2"/>
        <v>36</v>
      </c>
      <c r="B39" s="8">
        <f t="shared" si="9"/>
        <v>46265</v>
      </c>
      <c r="C39" s="9" t="str" cm="1">
        <f t="array" ref="C39">_xlfn.XLOOKUP(E39,Masterdata!$B$31:$B$44,Masterdata!$A$31:$A$44,_xlfn.SWITCH(WEEKDAY($D39, 2), 1, "mandag", 2, "tirsdag", 3, "onsdag", 4, "torsdag", 5, "fredag", 6, "lørdag", 7, "søndag"),0)</f>
        <v>mandag</v>
      </c>
      <c r="D39" s="29">
        <f t="shared" si="0"/>
        <v>2</v>
      </c>
      <c r="E39" s="70">
        <f t="shared" si="3"/>
        <v>46265</v>
      </c>
      <c r="F39" s="10" t="s">
        <v>23</v>
      </c>
      <c r="G39" s="12">
        <f>IF(OR(AND(F39="N",NOT(OR(C39="mandag",C39="tirsdag",C39="onsdag",C39="torsdag",C39="fredag"))),F39="F"),0,
        IF(OR(
            AND(Masterdata!$B$4&lt;&gt;DATE(1900,1,0), Masterdata!$B$4&lt;$E39),
            AND(Masterdata!$B$3&lt;&gt;DATE(1900,1,0), Masterdata!$B$3&gt;$E39)
        ),
        0, $X$7/(5-H39)))</f>
        <v>0.30833333333333335</v>
      </c>
      <c r="H39" s="86">
        <f>SUMPRODUCT(COUNTIFS(Juli!$A$9:$A$39,$A39,Juli!$D$9:$D$39,"&lt;7",Juli!$F$9:$F$39,"F")+COUNTIFS($A$9:$A$38,$A39,$D$9:$D$38,"&lt;7",$F$9:$F$38,"F")+COUNTIFS(September!$A$9:$A$39,$A39,September!$D$9:$D$39,"&lt;7",September!$F$9:$F$39,"F"))</f>
        <v>0</v>
      </c>
      <c r="I39" s="11">
        <v>0</v>
      </c>
      <c r="J39" s="11">
        <v>0</v>
      </c>
      <c r="K39" s="11">
        <v>0</v>
      </c>
      <c r="L39" s="26" t="str">
        <f t="shared" si="12"/>
        <v>07:24</v>
      </c>
      <c r="M39" s="26" t="str">
        <f>IF(OR(F39="N",F39="F"),"0:00",
IF(
OR(
AND(Masterdata!$B$4&lt;&gt;DATE(1900,1,0),Masterdata!$B$4&lt;$E39),
AND(Masterdata!$B$3&lt;&gt;DATE(1900,1,0),Masterdata!$B$3&gt;$E39)
),"0:00",
IF(
$I39&gt;TIME(0,0,0),
IF(
NOT(OR($C39="mandag",$C39="tirsdag",$C39="onsdag",$C39="torsdag",$C39="fredag")),
TEXT($I39,"[tt]:mm"),
IF($I39-$G39&gt;=0,TEXT($I39-$G39,"[tt]:mm"),"-"&amp;TEXT(ABS($I39-$G39),"[tt]:mm"))
),
IF(
NOT(OR($C39="mandag",$C39="tirsdag",$C39="onsdag",$C39="torsdag",$C39="fredag")),
IF($K39-$J39&gt;=0,TEXT($K39-$J39,"[tt]:mm"),"-"&amp;TEXT(ABS($K39-$J39),"[tt]:mm")),
IF(
$K39-$J39-$G39&gt;=0,
TEXT($K39-$J39-$G39,"[tt]:mm"),
"-"&amp;TEXT(ABS($K39-$J39-$G39),"[tt]:mm")
)
)
)
))</f>
        <v>0:00</v>
      </c>
      <c r="N39" s="71" t="str">
        <f t="shared" si="15"/>
        <v>0</v>
      </c>
      <c r="O39" s="25" t="str">
        <f t="shared" si="5"/>
        <v>0:</v>
      </c>
      <c r="P39" s="52" t="str">
        <f t="shared" si="6"/>
        <v>0</v>
      </c>
      <c r="Q39" s="53">
        <f t="shared" si="16"/>
        <v>0</v>
      </c>
      <c r="R39" s="30">
        <f t="shared" si="17"/>
        <v>0</v>
      </c>
      <c r="S39" s="98"/>
      <c r="T39" s="98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</row>
    <row r="40" spans="1:45" x14ac:dyDescent="0.3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73"/>
      <c r="N40" s="29"/>
      <c r="O40" s="29"/>
      <c r="P40" s="29"/>
      <c r="Q40" s="29"/>
      <c r="R40" s="30">
        <f>SUM(R9:R39)</f>
        <v>0</v>
      </c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</row>
    <row r="41" spans="1:45" x14ac:dyDescent="0.3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</row>
    <row r="42" spans="1:45" x14ac:dyDescent="0.3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</row>
    <row r="43" spans="1:45" x14ac:dyDescent="0.3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</row>
    <row r="44" spans="1:45" x14ac:dyDescent="0.3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</row>
    <row r="45" spans="1:45" x14ac:dyDescent="0.3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</row>
    <row r="46" spans="1:45" x14ac:dyDescent="0.3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</row>
    <row r="47" spans="1:45" x14ac:dyDescent="0.3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</row>
    <row r="48" spans="1:45" x14ac:dyDescent="0.3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</row>
    <row r="49" spans="1:45" x14ac:dyDescent="0.3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</row>
    <row r="50" spans="1:45" x14ac:dyDescent="0.3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</row>
    <row r="51" spans="1:45" x14ac:dyDescent="0.3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</row>
    <row r="52" spans="1:45" x14ac:dyDescent="0.3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</row>
    <row r="53" spans="1:45" x14ac:dyDescent="0.3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</row>
    <row r="54" spans="1:45" x14ac:dyDescent="0.3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</row>
    <row r="55" spans="1:45" x14ac:dyDescent="0.3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</row>
    <row r="56" spans="1:45" x14ac:dyDescent="0.3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</row>
    <row r="57" spans="1:45" x14ac:dyDescent="0.3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</row>
    <row r="58" spans="1:45" x14ac:dyDescent="0.3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</row>
    <row r="59" spans="1:45" x14ac:dyDescent="0.3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</row>
    <row r="60" spans="1:45" x14ac:dyDescent="0.3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</row>
    <row r="61" spans="1:45" x14ac:dyDescent="0.3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</row>
    <row r="62" spans="1:45" x14ac:dyDescent="0.3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</row>
    <row r="63" spans="1:45" x14ac:dyDescent="0.3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</row>
    <row r="64" spans="1:45" x14ac:dyDescent="0.3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</row>
    <row r="65" spans="1:45" x14ac:dyDescent="0.3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</row>
    <row r="66" spans="1:45" x14ac:dyDescent="0.3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</row>
    <row r="67" spans="1:45" x14ac:dyDescent="0.3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</row>
    <row r="68" spans="1:45" x14ac:dyDescent="0.3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</row>
    <row r="69" spans="1:45" x14ac:dyDescent="0.3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</row>
    <row r="70" spans="1:45" x14ac:dyDescent="0.3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</row>
    <row r="71" spans="1:45" x14ac:dyDescent="0.3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</row>
    <row r="72" spans="1:45" x14ac:dyDescent="0.3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</row>
    <row r="73" spans="1:45" x14ac:dyDescent="0.3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</row>
    <row r="74" spans="1:45" x14ac:dyDescent="0.3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</row>
    <row r="75" spans="1:45" x14ac:dyDescent="0.3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</row>
    <row r="76" spans="1:45" x14ac:dyDescent="0.3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</row>
    <row r="77" spans="1:45" x14ac:dyDescent="0.3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</row>
    <row r="78" spans="1:45" x14ac:dyDescent="0.3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</row>
  </sheetData>
  <sheetProtection algorithmName="SHA-512" hashValue="mjlgepX2L+jGfxDruClZ9d5UZmXQXlxE60gCea+SkzD6asx+4G0UCO4fnF1Jto6FNTPAVOTTHUjjezHCuA0XpA==" saltValue="6hUApQ2P2C0xCiuFHKGhgw==" spinCount="100000" sheet="1" objects="1" scenarios="1"/>
  <mergeCells count="37">
    <mergeCell ref="S14:T14"/>
    <mergeCell ref="S2:T2"/>
    <mergeCell ref="S3:T3"/>
    <mergeCell ref="S4:T4"/>
    <mergeCell ref="S5:T5"/>
    <mergeCell ref="S6:T6"/>
    <mergeCell ref="S8:T8"/>
    <mergeCell ref="S9:T9"/>
    <mergeCell ref="S10:T10"/>
    <mergeCell ref="S11:T11"/>
    <mergeCell ref="S12:T12"/>
    <mergeCell ref="S13:T13"/>
    <mergeCell ref="S26:T26"/>
    <mergeCell ref="S15:T15"/>
    <mergeCell ref="S16:T16"/>
    <mergeCell ref="S17:T17"/>
    <mergeCell ref="S18:T18"/>
    <mergeCell ref="S19:T19"/>
    <mergeCell ref="S20:T20"/>
    <mergeCell ref="S21:T21"/>
    <mergeCell ref="S22:T22"/>
    <mergeCell ref="S23:T23"/>
    <mergeCell ref="S24:T24"/>
    <mergeCell ref="S25:T25"/>
    <mergeCell ref="S39:T39"/>
    <mergeCell ref="S36:T36"/>
    <mergeCell ref="S27:T27"/>
    <mergeCell ref="S28:T28"/>
    <mergeCell ref="S29:T29"/>
    <mergeCell ref="S30:T30"/>
    <mergeCell ref="S31:T31"/>
    <mergeCell ref="S32:T32"/>
    <mergeCell ref="S33:T33"/>
    <mergeCell ref="S34:T34"/>
    <mergeCell ref="S35:T35"/>
    <mergeCell ref="S37:T37"/>
    <mergeCell ref="S38:T38"/>
  </mergeCells>
  <conditionalFormatting sqref="A9:H39">
    <cfRule type="expression" dxfId="24" priority="1">
      <formula>$F9="F"</formula>
    </cfRule>
    <cfRule type="expression" dxfId="23" priority="3">
      <formula>OR(NOT(OR($C9="mandag", $C9="tirsdag",$C9="onsdag",$C9="torsdag",$C9="fredag")),$F9="F")</formula>
    </cfRule>
  </conditionalFormatting>
  <conditionalFormatting sqref="G9:H39">
    <cfRule type="expression" dxfId="22" priority="5">
      <formula>AND($F9="N", (OR($C9="mandag", $C9="tirsdag",$C9="onsdag",$C9="torsdag",$C9="fredag")))</formula>
    </cfRule>
  </conditionalFormatting>
  <conditionalFormatting sqref="I9:K39">
    <cfRule type="expression" dxfId="21" priority="2">
      <formula>OR($F9="N",$F9="F")</formula>
    </cfRule>
    <cfRule type="expression" dxfId="20" priority="4">
      <formula>$F9="R"</formula>
    </cfRule>
  </conditionalFormatting>
  <dataValidations count="2">
    <dataValidation type="list" allowBlank="1" showInputMessage="1" showErrorMessage="1" sqref="F9:F39" xr:uid="{88AD63B8-58DC-409D-B14F-A4D38AB0658E}">
      <formula1>IF($B$2,$M$3:$M$5,$M$4:$M$5)</formula1>
    </dataValidation>
    <dataValidation type="time" allowBlank="1" showInputMessage="1" showErrorMessage="1" sqref="I9:K39" xr:uid="{1E9709B6-7F17-4333-BFC0-09A5EA266360}">
      <formula1>0</formula1>
      <formula2>0.999305555555556</formula2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FF40F5600566343A10E1750CB575FB0" ma:contentTypeVersion="6" ma:contentTypeDescription="Opret et nyt dokument." ma:contentTypeScope="" ma:versionID="2a1ab41969b3b77c51b356210a1c6e83">
  <xsd:schema xmlns:xsd="http://www.w3.org/2001/XMLSchema" xmlns:xs="http://www.w3.org/2001/XMLSchema" xmlns:p="http://schemas.microsoft.com/office/2006/metadata/properties" xmlns:ns2="d481621c-2c56-4a5d-b371-7bbcce2ef15f" xmlns:ns3="6ac0f6f5-a6d0-4a1a-a596-810390f64f82" targetNamespace="http://schemas.microsoft.com/office/2006/metadata/properties" ma:root="true" ma:fieldsID="884b550ab2daf5c3ac393328c06893d4" ns2:_="" ns3:_="">
    <xsd:import namespace="d481621c-2c56-4a5d-b371-7bbcce2ef15f"/>
    <xsd:import namespace="6ac0f6f5-a6d0-4a1a-a596-810390f64f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81621c-2c56-4a5d-b371-7bbcce2ef15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c0f6f5-a6d0-4a1a-a596-810390f64f8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E63BA41-2C61-4993-B95C-26BE203FE9D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61C77DD-F93A-4A7A-BF76-A45545D7EE6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481621c-2c56-4a5d-b371-7bbcce2ef15f"/>
    <ds:schemaRef ds:uri="6ac0f6f5-a6d0-4a1a-a596-810390f64f8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6A2EA5A-04E0-4905-A4B1-C79E857E8986}">
  <ds:schemaRefs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elements/1.1/"/>
    <ds:schemaRef ds:uri="d481621c-2c56-4a5d-b371-7bbcce2ef15f"/>
    <ds:schemaRef ds:uri="http://schemas.microsoft.com/office/infopath/2007/PartnerControls"/>
    <ds:schemaRef ds:uri="http://schemas.openxmlformats.org/package/2006/metadata/core-properties"/>
    <ds:schemaRef ds:uri="6ac0f6f5-a6d0-4a1a-a596-810390f64f82"/>
    <ds:schemaRef ds:uri="http://purl.org/dc/dcmitype/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61fd1d36-fecb-47ca-b7d7-d0df0370a198}" enabled="0" method="" siteId="{61fd1d36-fecb-47ca-b7d7-d0df0370a19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</vt:i4>
      </vt:variant>
    </vt:vector>
  </HeadingPairs>
  <TitlesOfParts>
    <vt:vector size="15" baseType="lpstr">
      <vt:lpstr>Masterdata</vt:lpstr>
      <vt:lpstr>Januar</vt:lpstr>
      <vt:lpstr>Februar</vt:lpstr>
      <vt:lpstr>Marts</vt:lpstr>
      <vt:lpstr>April</vt:lpstr>
      <vt:lpstr>Maj</vt:lpstr>
      <vt:lpstr>Juni</vt:lpstr>
      <vt:lpstr>Juli</vt:lpstr>
      <vt:lpstr>August</vt:lpstr>
      <vt:lpstr>September</vt:lpstr>
      <vt:lpstr>Oktober</vt:lpstr>
      <vt:lpstr>November</vt:lpstr>
      <vt:lpstr>December</vt:lpstr>
      <vt:lpstr>Masterdata!År</vt:lpstr>
      <vt:lpstr>Årstal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cba@au.dk</dc:creator>
  <cp:keywords/>
  <dc:description/>
  <cp:lastModifiedBy>Max Veller Mortensen</cp:lastModifiedBy>
  <cp:revision/>
  <cp:lastPrinted>2024-09-23T08:29:11Z</cp:lastPrinted>
  <dcterms:created xsi:type="dcterms:W3CDTF">2024-05-16T07:35:07Z</dcterms:created>
  <dcterms:modified xsi:type="dcterms:W3CDTF">2026-01-22T10:06:35Z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0x0101001FF40F5600566343A10E1750CB575FB0</vt:lpwstr>
  </property>
</Properties>
</file>