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1.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3.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queryTables/queryTable1.xml" ContentType="application/vnd.openxmlformats-officedocument.spreadsheetml.queryTable+xml"/>
  <Override PartName="/xl/tables/table29.xml" ContentType="application/vnd.openxmlformats-officedocument.spreadsheetml.table+xml"/>
  <Override PartName="/xl/queryTables/queryTable2.xml" ContentType="application/vnd.openxmlformats-officedocument.spreadsheetml.queryTable+xml"/>
  <Override PartName="/xl/pivotTables/pivotTable1.xml" ContentType="application/vnd.openxmlformats-officedocument.spreadsheetml.pivotTable+xml"/>
  <Override PartName="/xl/tables/table3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mc:AlternateContent xmlns:mc="http://schemas.openxmlformats.org/markup-compatibility/2006">
    <mc:Choice Requires="x15">
      <x15ac:absPath xmlns:x15ac="http://schemas.microsoft.com/office/spreadsheetml/2010/11/ac" url="O:\FA_AU-BygTeam\90 Programledelse\Sammenhængende økonomistyring på bygningsområdet\Økonomistyring i byggeprojekter\Fase 1 - Værktøjer\"/>
    </mc:Choice>
  </mc:AlternateContent>
  <xr:revisionPtr revIDLastSave="0" documentId="13_ncr:1_{3AC478CE-E9D7-4708-B545-B23343365744}" xr6:coauthVersionLast="47" xr6:coauthVersionMax="47" xr10:uidLastSave="{00000000-0000-0000-0000-000000000000}"/>
  <bookViews>
    <workbookView xWindow="-38520" yWindow="-120" windowWidth="38640" windowHeight="21120" tabRatio="751" activeTab="2" xr2:uid="{3CA5FFA7-3127-4BDA-996A-C9F66856C71B}"/>
  </bookViews>
  <sheets>
    <sheet name="Vejledning" sheetId="22" r:id="rId1"/>
    <sheet name="Teknisk vejledning" sheetId="21" r:id="rId2"/>
    <sheet name="Samleark" sheetId="2" r:id="rId3"/>
    <sheet name="Nedbrydning" sheetId="1" r:id="rId4"/>
    <sheet name="Tømrer" sheetId="5" r:id="rId5"/>
    <sheet name="Gulv" sheetId="4" r:id="rId6"/>
    <sheet name="Murer" sheetId="6" r:id="rId7"/>
    <sheet name="Maler" sheetId="7" r:id="rId8"/>
    <sheet name="VVS" sheetId="8" r:id="rId9"/>
    <sheet name="Ventilation" sheetId="20" r:id="rId10"/>
    <sheet name="El" sheetId="10" r:id="rId11"/>
    <sheet name="Jord" sheetId="13" r:id="rId12"/>
    <sheet name="Inventar" sheetId="14" r:id="rId13"/>
    <sheet name="Output" sheetId="15" r:id="rId14"/>
    <sheet name="Pivot" sheetId="16" r:id="rId15"/>
    <sheet name="Eksempel Successiv kalkulation" sheetId="18" r:id="rId16"/>
    <sheet name="Forklaring Successiv kalkulatio" sheetId="19" r:id="rId17"/>
  </sheets>
  <definedNames>
    <definedName name="ExternalData_2" localSheetId="13" hidden="1">Output!$A$3:$E$14</definedName>
    <definedName name="ExternalData_4" localSheetId="13" hidden="1">Output!$G$3:$Q$4</definedName>
    <definedName name="RangeBudgetStart" localSheetId="0">Vejledning!$B$28</definedName>
    <definedName name="RangeBudgetStart">Samleark!$B$14</definedName>
    <definedName name="RangeVejledningStart">#REF!</definedName>
    <definedName name="_xlnm.Print_Area" localSheetId="10">El!$A$1:$K$109</definedName>
    <definedName name="_xlnm.Print_Area" localSheetId="2">Samleark!$A$1:$H$87</definedName>
    <definedName name="_xlnm.Print_Area" localSheetId="0">Vejledning!$A$15:$H$101</definedName>
  </definedNames>
  <calcPr calcId="191029"/>
  <pivotCaches>
    <pivotCache cacheId="119" r:id="rId18"/>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imensioner_00fa76e2-1457-4ee4-b497-f3d948c37ea3" name="Dimensioner" connection="Query - Dimensioner"/>
          <x15:modelTable id="Data samlet_7d1d1dc4-d1b9-44ac-9e98-e6b8cf37c3d1" name="Data samlet" connection="Query - Data samlet"/>
          <x15:modelTable id="Stamdata_0eb2fb0e-12f2-43f6-81f7-34262610ccfa" name="Stamdata" connection="Query - Stamdata"/>
          <x15:modelTable id="Beregninger" name="Beregninger" connection="Connection"/>
        </x15:modelTables>
        <x15:modelRelationships>
          <x15:modelRelationship fromTable="Data samlet" fromColumn="Punkt" toTable="Dimensioner" toColumn="Punkt"/>
          <x15:modelRelationship fromTable="Data samlet" fromColumn="ID" toTable="Stamdata" toColumn="ID"/>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2" l="1"/>
  <c r="A11" i="22"/>
  <c r="E83" i="22"/>
  <c r="L81" i="22"/>
  <c r="L80" i="22"/>
  <c r="L79" i="22"/>
  <c r="L78" i="22"/>
  <c r="L77" i="22"/>
  <c r="L76" i="22"/>
  <c r="C77" i="22"/>
  <c r="C78" i="22" s="1"/>
  <c r="G71" i="22"/>
  <c r="K69" i="22"/>
  <c r="M69" i="22" s="1"/>
  <c r="K68" i="22"/>
  <c r="L68" i="22" s="1"/>
  <c r="K67" i="22"/>
  <c r="O67" i="22" s="1"/>
  <c r="P67" i="22" s="1"/>
  <c r="K66" i="22"/>
  <c r="O66" i="22" s="1"/>
  <c r="P66" i="22" s="1"/>
  <c r="K65" i="22"/>
  <c r="N65" i="22" s="1"/>
  <c r="K64" i="22"/>
  <c r="L64" i="22" s="1"/>
  <c r="K63" i="22"/>
  <c r="O63" i="22" s="1"/>
  <c r="P63" i="22" s="1"/>
  <c r="K62" i="22"/>
  <c r="M62" i="22" s="1"/>
  <c r="K61" i="22"/>
  <c r="O61" i="22" s="1"/>
  <c r="K60" i="22"/>
  <c r="O60" i="22" s="1"/>
  <c r="P60" i="22" s="1"/>
  <c r="K59" i="22"/>
  <c r="M59" i="22" s="1"/>
  <c r="E59" i="22"/>
  <c r="K58" i="22"/>
  <c r="M58" i="22" s="1"/>
  <c r="E58" i="22"/>
  <c r="K57" i="22"/>
  <c r="M57" i="22" s="1"/>
  <c r="G57" i="22"/>
  <c r="K56" i="22"/>
  <c r="M56" i="22" s="1"/>
  <c r="K55" i="22"/>
  <c r="L55" i="22" s="1"/>
  <c r="K54" i="22"/>
  <c r="O54" i="22" s="1"/>
  <c r="K53" i="22"/>
  <c r="N53" i="22" s="1"/>
  <c r="K52" i="22"/>
  <c r="O52" i="22" s="1"/>
  <c r="P52" i="22" s="1"/>
  <c r="K51" i="22"/>
  <c r="O51" i="22" s="1"/>
  <c r="P51" i="22" s="1"/>
  <c r="K50" i="22"/>
  <c r="M50" i="22" s="1"/>
  <c r="E50" i="22"/>
  <c r="K49" i="22"/>
  <c r="M49" i="22" s="1"/>
  <c r="E49" i="22"/>
  <c r="K48" i="22"/>
  <c r="M48" i="22" s="1"/>
  <c r="E48" i="22"/>
  <c r="K47" i="22"/>
  <c r="M47" i="22" s="1"/>
  <c r="G47" i="22"/>
  <c r="K46" i="22"/>
  <c r="L46" i="22" s="1"/>
  <c r="K45" i="22"/>
  <c r="L45" i="22" s="1"/>
  <c r="E45" i="22"/>
  <c r="K44" i="22"/>
  <c r="L44" i="22" s="1"/>
  <c r="E44" i="22"/>
  <c r="K43" i="22"/>
  <c r="L43" i="22" s="1"/>
  <c r="E43" i="22"/>
  <c r="K42" i="22"/>
  <c r="L42" i="22" s="1"/>
  <c r="E42" i="22"/>
  <c r="K41" i="22"/>
  <c r="L41" i="22" s="1"/>
  <c r="E41" i="22"/>
  <c r="K40" i="22"/>
  <c r="L40" i="22" s="1"/>
  <c r="E40" i="22"/>
  <c r="K39" i="22"/>
  <c r="L39" i="22" s="1"/>
  <c r="E39" i="22"/>
  <c r="K38" i="22"/>
  <c r="L38" i="22" s="1"/>
  <c r="E38" i="22"/>
  <c r="K37" i="22"/>
  <c r="L37" i="22" s="1"/>
  <c r="E37" i="22"/>
  <c r="K36" i="22"/>
  <c r="L36" i="22" s="1"/>
  <c r="E36" i="22"/>
  <c r="G35" i="22"/>
  <c r="L26" i="22"/>
  <c r="K26" i="22"/>
  <c r="L25" i="22"/>
  <c r="K25" i="22"/>
  <c r="L24" i="22"/>
  <c r="K24" i="22"/>
  <c r="L23" i="22"/>
  <c r="K23" i="22"/>
  <c r="L22" i="22"/>
  <c r="K22" i="22"/>
  <c r="L21" i="22"/>
  <c r="K21" i="22"/>
  <c r="L20" i="22"/>
  <c r="K20" i="22"/>
  <c r="L19" i="22"/>
  <c r="K19" i="22"/>
  <c r="L18" i="22"/>
  <c r="K18" i="22"/>
  <c r="L17" i="22"/>
  <c r="K17" i="22"/>
  <c r="C62" i="2"/>
  <c r="E28" i="2"/>
  <c r="I94" i="10"/>
  <c r="J94" i="10"/>
  <c r="K94" i="10"/>
  <c r="I95" i="10"/>
  <c r="J95" i="10"/>
  <c r="K95" i="10"/>
  <c r="I96" i="10"/>
  <c r="J96" i="10"/>
  <c r="K96" i="10"/>
  <c r="I97" i="10"/>
  <c r="J97" i="10"/>
  <c r="K97" i="10"/>
  <c r="I98" i="10"/>
  <c r="J98" i="10"/>
  <c r="K98" i="10"/>
  <c r="I99" i="10"/>
  <c r="J99" i="10"/>
  <c r="K99" i="10"/>
  <c r="I100" i="10"/>
  <c r="J100" i="10"/>
  <c r="K100" i="10" s="1"/>
  <c r="I101" i="10"/>
  <c r="J101" i="10"/>
  <c r="K101" i="10" s="1"/>
  <c r="G80" i="10"/>
  <c r="E45" i="2"/>
  <c r="I35" i="14"/>
  <c r="J35" i="14"/>
  <c r="K35" i="14" s="1"/>
  <c r="E22" i="2"/>
  <c r="E27" i="2"/>
  <c r="F34" i="20"/>
  <c r="C34" i="20"/>
  <c r="J31" i="20"/>
  <c r="K31" i="20" s="1"/>
  <c r="I31" i="20"/>
  <c r="J30" i="20"/>
  <c r="K30" i="20" s="1"/>
  <c r="I30" i="20"/>
  <c r="J29" i="20"/>
  <c r="K29" i="20" s="1"/>
  <c r="I29" i="20"/>
  <c r="J28" i="20"/>
  <c r="K28" i="20" s="1"/>
  <c r="I28" i="20"/>
  <c r="J27" i="20"/>
  <c r="K27" i="20" s="1"/>
  <c r="I27" i="20"/>
  <c r="K26" i="20"/>
  <c r="J26" i="20"/>
  <c r="I26" i="20"/>
  <c r="J25" i="20"/>
  <c r="K25" i="20" s="1"/>
  <c r="I25" i="20"/>
  <c r="J24" i="20"/>
  <c r="K24" i="20" s="1"/>
  <c r="I24" i="20"/>
  <c r="J23" i="20"/>
  <c r="K23" i="20" s="1"/>
  <c r="I23" i="20"/>
  <c r="F16" i="20"/>
  <c r="C16" i="20"/>
  <c r="G13" i="20"/>
  <c r="G12" i="20"/>
  <c r="G11" i="20"/>
  <c r="G10" i="20"/>
  <c r="F37" i="22"/>
  <c r="F28" i="2"/>
  <c r="F58" i="22"/>
  <c r="F42" i="22"/>
  <c r="F39" i="22"/>
  <c r="F59" i="22"/>
  <c r="F50" i="22"/>
  <c r="F48" i="22"/>
  <c r="O47" i="22" l="1"/>
  <c r="P47" i="22" s="1"/>
  <c r="M51" i="22"/>
  <c r="M55" i="22"/>
  <c r="M41" i="22"/>
  <c r="K76" i="22"/>
  <c r="M40" i="22"/>
  <c r="G33" i="22"/>
  <c r="G32" i="22" s="1"/>
  <c r="O46" i="22"/>
  <c r="P46" i="22" s="1"/>
  <c r="N41" i="22"/>
  <c r="O41" i="22"/>
  <c r="P41" i="22" s="1"/>
  <c r="N40" i="22"/>
  <c r="O48" i="22"/>
  <c r="P48" i="22" s="1"/>
  <c r="N61" i="22"/>
  <c r="M65" i="22"/>
  <c r="M38" i="22"/>
  <c r="O40" i="22"/>
  <c r="P40" i="22" s="1"/>
  <c r="N52" i="22"/>
  <c r="O65" i="22"/>
  <c r="P65" i="22" s="1"/>
  <c r="O38" i="22"/>
  <c r="P38" i="22" s="1"/>
  <c r="N43" i="22"/>
  <c r="O49" i="22"/>
  <c r="P49" i="22" s="1"/>
  <c r="M63" i="22"/>
  <c r="O43" i="22"/>
  <c r="P43" i="22" s="1"/>
  <c r="N63" i="22"/>
  <c r="N55" i="22"/>
  <c r="N64" i="22"/>
  <c r="O45" i="22"/>
  <c r="P45" i="22" s="1"/>
  <c r="M36" i="22"/>
  <c r="N39" i="22"/>
  <c r="O42" i="22"/>
  <c r="P42" i="22" s="1"/>
  <c r="M44" i="22"/>
  <c r="N51" i="22"/>
  <c r="O57" i="22"/>
  <c r="P57" i="22" s="1"/>
  <c r="L60" i="22"/>
  <c r="L67" i="22"/>
  <c r="N37" i="22"/>
  <c r="M39" i="22"/>
  <c r="N36" i="22"/>
  <c r="O39" i="22"/>
  <c r="P39" i="22" s="1"/>
  <c r="N44" i="22"/>
  <c r="M60" i="22"/>
  <c r="N62" i="22"/>
  <c r="L65" i="22"/>
  <c r="M67" i="22"/>
  <c r="M37" i="22"/>
  <c r="N54" i="22"/>
  <c r="O36" i="22"/>
  <c r="P36" i="22" s="1"/>
  <c r="O44" i="22"/>
  <c r="P44" i="22" s="1"/>
  <c r="N60" i="22"/>
  <c r="N67" i="22"/>
  <c r="O37" i="22"/>
  <c r="P37" i="22" s="1"/>
  <c r="N42" i="22"/>
  <c r="N38" i="22"/>
  <c r="M43" i="22"/>
  <c r="O55" i="22"/>
  <c r="O58" i="22"/>
  <c r="P58" i="22" s="1"/>
  <c r="L63" i="22"/>
  <c r="M45" i="22"/>
  <c r="O50" i="22"/>
  <c r="P50" i="22" s="1"/>
  <c r="L54" i="22"/>
  <c r="O56" i="22"/>
  <c r="P56" i="22" s="1"/>
  <c r="M42" i="22"/>
  <c r="N45" i="22"/>
  <c r="M54" i="22"/>
  <c r="O59" i="22"/>
  <c r="P59" i="22" s="1"/>
  <c r="M61" i="22"/>
  <c r="K77" i="22"/>
  <c r="C79" i="22"/>
  <c r="O53" i="22"/>
  <c r="L47" i="22"/>
  <c r="L49" i="22"/>
  <c r="L57" i="22"/>
  <c r="L59" i="22"/>
  <c r="O62" i="22"/>
  <c r="M46" i="22"/>
  <c r="N46" i="22"/>
  <c r="N47" i="22"/>
  <c r="N48" i="22"/>
  <c r="N49" i="22"/>
  <c r="N50" i="22"/>
  <c r="N56" i="22"/>
  <c r="N57" i="22"/>
  <c r="N58" i="22"/>
  <c r="N59" i="22"/>
  <c r="M64" i="22"/>
  <c r="M68" i="22"/>
  <c r="N69" i="22"/>
  <c r="N68" i="22"/>
  <c r="O69" i="22"/>
  <c r="L53" i="22"/>
  <c r="O64" i="22"/>
  <c r="P64" i="22" s="1"/>
  <c r="O68" i="22"/>
  <c r="P68" i="22" s="1"/>
  <c r="L52" i="22"/>
  <c r="M53" i="22"/>
  <c r="L66" i="22"/>
  <c r="L62" i="22"/>
  <c r="L51" i="22"/>
  <c r="M52" i="22"/>
  <c r="L61" i="22"/>
  <c r="M66" i="22"/>
  <c r="N66" i="22"/>
  <c r="L48" i="22"/>
  <c r="L50" i="22"/>
  <c r="L56" i="22"/>
  <c r="L58" i="22"/>
  <c r="L69" i="22"/>
  <c r="I32" i="20"/>
  <c r="G14" i="20"/>
  <c r="K32" i="20"/>
  <c r="D4" i="20" l="1"/>
  <c r="F57" i="22"/>
  <c r="C80" i="22"/>
  <c r="K78" i="22"/>
  <c r="E15" i="15"/>
  <c r="B22" i="19"/>
  <c r="B21" i="19"/>
  <c r="H26" i="18"/>
  <c r="H25" i="18"/>
  <c r="H24" i="18"/>
  <c r="F26" i="18"/>
  <c r="F25" i="18"/>
  <c r="F24" i="18"/>
  <c r="F32" i="18"/>
  <c r="C32" i="18"/>
  <c r="J15" i="18"/>
  <c r="K15" i="18" s="1"/>
  <c r="I15" i="18"/>
  <c r="J14" i="18"/>
  <c r="K14" i="18" s="1"/>
  <c r="I14" i="18"/>
  <c r="J13" i="18"/>
  <c r="K13" i="18" s="1"/>
  <c r="I13" i="18"/>
  <c r="J12" i="18"/>
  <c r="K12" i="18" s="1"/>
  <c r="I12" i="18"/>
  <c r="J11" i="18"/>
  <c r="K11" i="18" s="1"/>
  <c r="I11" i="18"/>
  <c r="J10" i="18"/>
  <c r="K10" i="18" s="1"/>
  <c r="I10" i="18"/>
  <c r="J9" i="18"/>
  <c r="K9" i="18" s="1"/>
  <c r="I9" i="18"/>
  <c r="J8" i="18"/>
  <c r="K8" i="18" s="1"/>
  <c r="I8" i="18"/>
  <c r="J7" i="18"/>
  <c r="K7" i="18" s="1"/>
  <c r="I7" i="18"/>
  <c r="F41" i="14"/>
  <c r="C41" i="14"/>
  <c r="F22" i="14"/>
  <c r="C22" i="14"/>
  <c r="F18" i="13"/>
  <c r="C18" i="13"/>
  <c r="F109" i="10"/>
  <c r="C109" i="10"/>
  <c r="F83" i="10"/>
  <c r="C83" i="10"/>
  <c r="F67" i="10"/>
  <c r="C67" i="10"/>
  <c r="F47" i="10"/>
  <c r="C47" i="10"/>
  <c r="F32" i="10"/>
  <c r="C32" i="10"/>
  <c r="F14" i="10"/>
  <c r="C14" i="10"/>
  <c r="F33" i="8"/>
  <c r="C33" i="8"/>
  <c r="F15" i="8"/>
  <c r="C15" i="8"/>
  <c r="F18" i="7"/>
  <c r="C18" i="7"/>
  <c r="F18" i="6"/>
  <c r="C18" i="6"/>
  <c r="F33" i="4"/>
  <c r="C33" i="4"/>
  <c r="F15" i="4"/>
  <c r="C15" i="4"/>
  <c r="F36" i="5"/>
  <c r="C36" i="5"/>
  <c r="F18" i="5"/>
  <c r="C18" i="5"/>
  <c r="F36" i="1"/>
  <c r="C36" i="1"/>
  <c r="F18" i="1"/>
  <c r="G56" i="2"/>
  <c r="C18" i="1"/>
  <c r="C81" i="22" l="1"/>
  <c r="K79" i="22"/>
  <c r="I18" i="18"/>
  <c r="I16" i="18"/>
  <c r="K16" i="18"/>
  <c r="K80" i="22" l="1"/>
  <c r="C82" i="22"/>
  <c r="K81" i="22" s="1"/>
  <c r="J18" i="18"/>
  <c r="E44" i="2" l="1"/>
  <c r="E36" i="2"/>
  <c r="E35" i="2"/>
  <c r="E34" i="2"/>
  <c r="E31" i="2"/>
  <c r="E30" i="2"/>
  <c r="E29" i="2"/>
  <c r="E26" i="2"/>
  <c r="E25" i="2"/>
  <c r="E24" i="2"/>
  <c r="E23" i="2"/>
  <c r="F25" i="2"/>
  <c r="F36" i="2"/>
  <c r="G43" i="2" l="1"/>
  <c r="G33" i="2"/>
  <c r="G21" i="2"/>
  <c r="K43" i="2"/>
  <c r="L43" i="2" s="1"/>
  <c r="K12" i="2"/>
  <c r="L12" i="2"/>
  <c r="L11" i="2"/>
  <c r="K8" i="2"/>
  <c r="L8" i="2"/>
  <c r="K7" i="2"/>
  <c r="L7" i="2"/>
  <c r="K4" i="2"/>
  <c r="L4" i="2"/>
  <c r="L62" i="2"/>
  <c r="L63" i="2"/>
  <c r="L64" i="2"/>
  <c r="L65" i="2"/>
  <c r="L66" i="2"/>
  <c r="L67" i="2"/>
  <c r="E68" i="2"/>
  <c r="K62" i="2"/>
  <c r="K52" i="2"/>
  <c r="N52" i="2" s="1"/>
  <c r="K53" i="2"/>
  <c r="L53" i="2" s="1"/>
  <c r="G19" i="2" l="1"/>
  <c r="G18" i="2" s="1"/>
  <c r="O43" i="2"/>
  <c r="P43" i="2" s="1"/>
  <c r="N43" i="2"/>
  <c r="M43" i="2"/>
  <c r="C63" i="2"/>
  <c r="N53" i="2"/>
  <c r="O53" i="2"/>
  <c r="P53" i="2" s="1"/>
  <c r="M53" i="2"/>
  <c r="M52" i="2"/>
  <c r="L52" i="2"/>
  <c r="O52" i="2"/>
  <c r="P52" i="2" s="1"/>
  <c r="C64" i="2" l="1"/>
  <c r="K63" i="2"/>
  <c r="C65" i="2" l="1"/>
  <c r="K64" i="2"/>
  <c r="C66" i="2" l="1"/>
  <c r="K65" i="2"/>
  <c r="C67" i="2" l="1"/>
  <c r="K67" i="2" s="1"/>
  <c r="K66" i="2"/>
  <c r="L3" i="2" l="1"/>
  <c r="L5" i="2"/>
  <c r="L6" i="2"/>
  <c r="L9" i="2"/>
  <c r="L10" i="2"/>
  <c r="K3" i="2"/>
  <c r="K5" i="2"/>
  <c r="K6" i="2"/>
  <c r="K9" i="2"/>
  <c r="K10" i="2"/>
  <c r="K11" i="2"/>
  <c r="K54" i="2" l="1"/>
  <c r="L54" i="2" s="1"/>
  <c r="K55" i="2"/>
  <c r="L55" i="2" s="1"/>
  <c r="K46" i="2"/>
  <c r="L46" i="2" s="1"/>
  <c r="K47" i="2"/>
  <c r="L47" i="2" s="1"/>
  <c r="K48" i="2"/>
  <c r="L48" i="2" s="1"/>
  <c r="K49" i="2"/>
  <c r="L49" i="2" s="1"/>
  <c r="K50" i="2"/>
  <c r="L50" i="2" s="1"/>
  <c r="K51" i="2"/>
  <c r="L51" i="2" s="1"/>
  <c r="O47" i="2" l="1"/>
  <c r="M47" i="2"/>
  <c r="O46" i="2"/>
  <c r="P46" i="2" s="1"/>
  <c r="M46" i="2"/>
  <c r="O51" i="2"/>
  <c r="P51" i="2" s="1"/>
  <c r="M51" i="2"/>
  <c r="N55" i="2"/>
  <c r="M55" i="2"/>
  <c r="O49" i="2"/>
  <c r="P49" i="2" s="1"/>
  <c r="M49" i="2"/>
  <c r="O48" i="2"/>
  <c r="M48" i="2"/>
  <c r="O50" i="2"/>
  <c r="P50" i="2" s="1"/>
  <c r="M50" i="2"/>
  <c r="O54" i="2"/>
  <c r="P54" i="2" s="1"/>
  <c r="M54" i="2"/>
  <c r="N47" i="2"/>
  <c r="N54" i="2"/>
  <c r="O55" i="2"/>
  <c r="N50" i="2"/>
  <c r="N49" i="2"/>
  <c r="N51" i="2"/>
  <c r="N48" i="2"/>
  <c r="N46" i="2"/>
  <c r="K22" i="2"/>
  <c r="O22" i="2" s="1"/>
  <c r="K23" i="2"/>
  <c r="M23" i="2" s="1"/>
  <c r="K24" i="2"/>
  <c r="K25" i="2"/>
  <c r="K26" i="2"/>
  <c r="K27" i="2"/>
  <c r="K28" i="2"/>
  <c r="K29" i="2"/>
  <c r="K30" i="2"/>
  <c r="K31" i="2"/>
  <c r="K32" i="2"/>
  <c r="K33" i="2"/>
  <c r="K34" i="2"/>
  <c r="K35" i="2"/>
  <c r="K36" i="2"/>
  <c r="K37" i="2"/>
  <c r="K38" i="2"/>
  <c r="K39" i="2"/>
  <c r="K40" i="2"/>
  <c r="K41" i="2"/>
  <c r="K42" i="2"/>
  <c r="K44" i="2"/>
  <c r="K45" i="2"/>
  <c r="M41" i="2" l="1"/>
  <c r="L41" i="2"/>
  <c r="M33" i="2"/>
  <c r="L33" i="2"/>
  <c r="M25" i="2"/>
  <c r="L25" i="2"/>
  <c r="M34" i="2"/>
  <c r="L34" i="2"/>
  <c r="M40" i="2"/>
  <c r="L40" i="2"/>
  <c r="M32" i="2"/>
  <c r="L32" i="2"/>
  <c r="M24" i="2"/>
  <c r="L24" i="2"/>
  <c r="M39" i="2"/>
  <c r="L39" i="2"/>
  <c r="M31" i="2"/>
  <c r="L31" i="2"/>
  <c r="L23" i="2"/>
  <c r="M38" i="2"/>
  <c r="L38" i="2"/>
  <c r="M30" i="2"/>
  <c r="L30" i="2"/>
  <c r="M22" i="2"/>
  <c r="L22" i="2"/>
  <c r="M45" i="2"/>
  <c r="L45" i="2"/>
  <c r="M37" i="2"/>
  <c r="L37" i="2"/>
  <c r="M29" i="2"/>
  <c r="L29" i="2"/>
  <c r="M26" i="2"/>
  <c r="L26" i="2"/>
  <c r="M44" i="2"/>
  <c r="L44" i="2"/>
  <c r="M36" i="2"/>
  <c r="L36" i="2"/>
  <c r="M28" i="2"/>
  <c r="L28" i="2"/>
  <c r="M42" i="2"/>
  <c r="L42" i="2"/>
  <c r="M35" i="2"/>
  <c r="L35" i="2"/>
  <c r="M27" i="2"/>
  <c r="L27" i="2"/>
  <c r="O33" i="2"/>
  <c r="P33" i="2" s="1"/>
  <c r="N33" i="2"/>
  <c r="O40" i="2"/>
  <c r="N40" i="2"/>
  <c r="O32" i="2"/>
  <c r="P32" i="2" s="1"/>
  <c r="N32" i="2"/>
  <c r="O24" i="2"/>
  <c r="P24" i="2" s="1"/>
  <c r="N24" i="2"/>
  <c r="O39" i="2"/>
  <c r="N39" i="2"/>
  <c r="O31" i="2"/>
  <c r="P31" i="2" s="1"/>
  <c r="N31" i="2"/>
  <c r="O23" i="2"/>
  <c r="P23" i="2" s="1"/>
  <c r="N23" i="2"/>
  <c r="O41" i="2"/>
  <c r="N41" i="2"/>
  <c r="O30" i="2"/>
  <c r="P30" i="2" s="1"/>
  <c r="N30" i="2"/>
  <c r="O45" i="2"/>
  <c r="P45" i="2" s="1"/>
  <c r="N45" i="2"/>
  <c r="O37" i="2"/>
  <c r="P37" i="2" s="1"/>
  <c r="N37" i="2"/>
  <c r="O29" i="2"/>
  <c r="P29" i="2" s="1"/>
  <c r="N29" i="2"/>
  <c r="O25" i="2"/>
  <c r="P25" i="2" s="1"/>
  <c r="N25" i="2"/>
  <c r="O38" i="2"/>
  <c r="P38" i="2" s="1"/>
  <c r="N38" i="2"/>
  <c r="N22" i="2"/>
  <c r="O44" i="2"/>
  <c r="N44" i="2"/>
  <c r="O36" i="2"/>
  <c r="P36" i="2" s="1"/>
  <c r="N36" i="2"/>
  <c r="O28" i="2"/>
  <c r="P28" i="2" s="1"/>
  <c r="N28" i="2"/>
  <c r="O27" i="2"/>
  <c r="P27" i="2" s="1"/>
  <c r="N27" i="2"/>
  <c r="O42" i="2"/>
  <c r="P42" i="2" s="1"/>
  <c r="N42" i="2"/>
  <c r="O35" i="2"/>
  <c r="P35" i="2" s="1"/>
  <c r="N35" i="2"/>
  <c r="O34" i="2"/>
  <c r="P34" i="2" s="1"/>
  <c r="N34" i="2"/>
  <c r="O26" i="2"/>
  <c r="P26" i="2" s="1"/>
  <c r="N26" i="2"/>
  <c r="P44" i="2" l="1"/>
  <c r="P22" i="2"/>
  <c r="G78" i="10" l="1"/>
  <c r="G79" i="10"/>
  <c r="G81" i="10"/>
  <c r="I90" i="10"/>
  <c r="J90" i="10"/>
  <c r="K90" i="10" s="1"/>
  <c r="I91" i="10"/>
  <c r="J91" i="10"/>
  <c r="K91" i="10"/>
  <c r="I92" i="10"/>
  <c r="J92" i="10"/>
  <c r="K92" i="10" s="1"/>
  <c r="I93" i="10"/>
  <c r="J93" i="10"/>
  <c r="K93" i="10" s="1"/>
  <c r="I102" i="10"/>
  <c r="J102" i="10"/>
  <c r="K102" i="10"/>
  <c r="I103" i="10"/>
  <c r="J103" i="10"/>
  <c r="K103" i="10" s="1"/>
  <c r="I104" i="10"/>
  <c r="J104" i="10"/>
  <c r="K104" i="10" s="1"/>
  <c r="I105" i="10"/>
  <c r="J105" i="10"/>
  <c r="K105" i="10" s="1"/>
  <c r="I106" i="10"/>
  <c r="J106" i="10"/>
  <c r="K106" i="10" s="1"/>
  <c r="G43" i="10"/>
  <c r="G45" i="10" s="1"/>
  <c r="G44" i="10"/>
  <c r="I54" i="10"/>
  <c r="J54" i="10"/>
  <c r="K54" i="10" s="1"/>
  <c r="I55" i="10"/>
  <c r="J55" i="10"/>
  <c r="K55" i="10" s="1"/>
  <c r="I56" i="10"/>
  <c r="J56" i="10"/>
  <c r="K56" i="10" s="1"/>
  <c r="I57" i="10"/>
  <c r="J57" i="10"/>
  <c r="K57" i="10" s="1"/>
  <c r="I58" i="10"/>
  <c r="J58" i="10"/>
  <c r="K58" i="10" s="1"/>
  <c r="I59" i="10"/>
  <c r="J59" i="10"/>
  <c r="K59" i="10" s="1"/>
  <c r="I60" i="10"/>
  <c r="J60" i="10"/>
  <c r="K60" i="10" s="1"/>
  <c r="I61" i="10"/>
  <c r="J61" i="10"/>
  <c r="K61" i="10"/>
  <c r="I62" i="10"/>
  <c r="J62" i="10"/>
  <c r="K62" i="10" s="1"/>
  <c r="I63" i="10"/>
  <c r="J63" i="10"/>
  <c r="K63" i="10" s="1"/>
  <c r="I64" i="10"/>
  <c r="J64" i="10"/>
  <c r="K64" i="10" s="1"/>
  <c r="F30" i="2"/>
  <c r="F31" i="2"/>
  <c r="F45" i="22"/>
  <c r="F44" i="22"/>
  <c r="K107" i="10" l="1"/>
  <c r="I107" i="10"/>
  <c r="D72" i="10" s="1"/>
  <c r="I65" i="10"/>
  <c r="D37" i="10" s="1"/>
  <c r="K65" i="10"/>
  <c r="I15" i="14"/>
  <c r="J15" i="14"/>
  <c r="K15" i="14" s="1"/>
  <c r="I16" i="14"/>
  <c r="J16" i="14"/>
  <c r="K16" i="14" s="1"/>
  <c r="I17" i="14"/>
  <c r="J17" i="14"/>
  <c r="K17" i="14" s="1"/>
  <c r="I18" i="14"/>
  <c r="J18" i="14"/>
  <c r="K18" i="14" s="1"/>
  <c r="J38" i="14"/>
  <c r="K38" i="14" s="1"/>
  <c r="I38" i="14"/>
  <c r="J37" i="14"/>
  <c r="K37" i="14" s="1"/>
  <c r="I37" i="14"/>
  <c r="J36" i="14"/>
  <c r="K36" i="14" s="1"/>
  <c r="I36" i="14"/>
  <c r="J34" i="14"/>
  <c r="K34" i="14" s="1"/>
  <c r="I34" i="14"/>
  <c r="J33" i="14"/>
  <c r="K33" i="14" s="1"/>
  <c r="I33" i="14"/>
  <c r="J32" i="14"/>
  <c r="K32" i="14" s="1"/>
  <c r="I32" i="14"/>
  <c r="J31" i="14"/>
  <c r="K31" i="14" s="1"/>
  <c r="I31" i="14"/>
  <c r="J30" i="14"/>
  <c r="K30" i="14" s="1"/>
  <c r="I30" i="14"/>
  <c r="J29" i="14"/>
  <c r="K29" i="14" s="1"/>
  <c r="I29" i="14"/>
  <c r="J19" i="14"/>
  <c r="K19" i="14" s="1"/>
  <c r="I19" i="14"/>
  <c r="J14" i="14"/>
  <c r="K14" i="14" s="1"/>
  <c r="I14" i="14"/>
  <c r="J13" i="14"/>
  <c r="K13" i="14" s="1"/>
  <c r="I13" i="14"/>
  <c r="J12" i="14"/>
  <c r="K12" i="14" s="1"/>
  <c r="I12" i="14"/>
  <c r="J11" i="14"/>
  <c r="K11" i="14" s="1"/>
  <c r="I11" i="14"/>
  <c r="J10" i="14"/>
  <c r="K10" i="14" s="1"/>
  <c r="I10" i="14"/>
  <c r="J9" i="14"/>
  <c r="K9" i="14" s="1"/>
  <c r="I9" i="14"/>
  <c r="J8" i="14"/>
  <c r="K8" i="14" s="1"/>
  <c r="I8" i="14"/>
  <c r="J7" i="14"/>
  <c r="K7" i="14" s="1"/>
  <c r="I7" i="14"/>
  <c r="J15" i="13"/>
  <c r="K15" i="13" s="1"/>
  <c r="I15" i="13"/>
  <c r="J14" i="13"/>
  <c r="K14" i="13" s="1"/>
  <c r="I14" i="13"/>
  <c r="J13" i="13"/>
  <c r="K13" i="13" s="1"/>
  <c r="I13" i="13"/>
  <c r="J12" i="13"/>
  <c r="K12" i="13" s="1"/>
  <c r="I12" i="13"/>
  <c r="J11" i="13"/>
  <c r="K11" i="13" s="1"/>
  <c r="I11" i="13"/>
  <c r="K10" i="13"/>
  <c r="J10" i="13"/>
  <c r="I10" i="13"/>
  <c r="J9" i="13"/>
  <c r="K9" i="13" s="1"/>
  <c r="I9" i="13"/>
  <c r="J8" i="13"/>
  <c r="K8" i="13" s="1"/>
  <c r="I8" i="13"/>
  <c r="J7" i="13"/>
  <c r="K7" i="13" s="1"/>
  <c r="I7" i="13"/>
  <c r="J29" i="10"/>
  <c r="K29" i="10" s="1"/>
  <c r="I29" i="10"/>
  <c r="J28" i="10"/>
  <c r="K28" i="10" s="1"/>
  <c r="I28" i="10"/>
  <c r="J27" i="10"/>
  <c r="K27" i="10" s="1"/>
  <c r="I27" i="10"/>
  <c r="J26" i="10"/>
  <c r="K26" i="10" s="1"/>
  <c r="I26" i="10"/>
  <c r="J25" i="10"/>
  <c r="K25" i="10" s="1"/>
  <c r="I25" i="10"/>
  <c r="J24" i="10"/>
  <c r="K24" i="10" s="1"/>
  <c r="I24" i="10"/>
  <c r="J23" i="10"/>
  <c r="K23" i="10" s="1"/>
  <c r="I23" i="10"/>
  <c r="J22" i="10"/>
  <c r="K22" i="10" s="1"/>
  <c r="I22" i="10"/>
  <c r="J21" i="10"/>
  <c r="K21" i="10" s="1"/>
  <c r="I21" i="10"/>
  <c r="G11" i="10"/>
  <c r="G10" i="10"/>
  <c r="F43" i="22"/>
  <c r="F29" i="2"/>
  <c r="F44" i="2"/>
  <c r="F45" i="2"/>
  <c r="F43" i="2" l="1"/>
  <c r="I16" i="13"/>
  <c r="K16" i="13"/>
  <c r="G12" i="10"/>
  <c r="I39" i="14"/>
  <c r="I20" i="14"/>
  <c r="K39" i="14"/>
  <c r="K20" i="14"/>
  <c r="I30" i="10"/>
  <c r="K30" i="10"/>
  <c r="D4" i="10" l="1"/>
  <c r="J30" i="8" l="1"/>
  <c r="K30" i="8" s="1"/>
  <c r="I30" i="8"/>
  <c r="J29" i="8"/>
  <c r="K29" i="8" s="1"/>
  <c r="I29" i="8"/>
  <c r="J28" i="8"/>
  <c r="K28" i="8" s="1"/>
  <c r="I28" i="8"/>
  <c r="J27" i="8"/>
  <c r="K27" i="8" s="1"/>
  <c r="I27" i="8"/>
  <c r="J26" i="8"/>
  <c r="K26" i="8" s="1"/>
  <c r="I26" i="8"/>
  <c r="J25" i="8"/>
  <c r="K25" i="8" s="1"/>
  <c r="I25" i="8"/>
  <c r="J24" i="8"/>
  <c r="K24" i="8" s="1"/>
  <c r="I24" i="8"/>
  <c r="J23" i="8"/>
  <c r="K23" i="8" s="1"/>
  <c r="I23" i="8"/>
  <c r="J22" i="8"/>
  <c r="K22" i="8" s="1"/>
  <c r="I22" i="8"/>
  <c r="G12" i="8"/>
  <c r="G11" i="8"/>
  <c r="G10" i="8"/>
  <c r="J15" i="7"/>
  <c r="K15" i="7" s="1"/>
  <c r="I15" i="7"/>
  <c r="J14" i="7"/>
  <c r="K14" i="7" s="1"/>
  <c r="I14" i="7"/>
  <c r="J13" i="7"/>
  <c r="K13" i="7" s="1"/>
  <c r="I13" i="7"/>
  <c r="J12" i="7"/>
  <c r="K12" i="7" s="1"/>
  <c r="I12" i="7"/>
  <c r="J11" i="7"/>
  <c r="K11" i="7" s="1"/>
  <c r="I11" i="7"/>
  <c r="J10" i="7"/>
  <c r="K10" i="7" s="1"/>
  <c r="I10" i="7"/>
  <c r="J9" i="7"/>
  <c r="K9" i="7" s="1"/>
  <c r="I9" i="7"/>
  <c r="J8" i="7"/>
  <c r="K8" i="7" s="1"/>
  <c r="I8" i="7"/>
  <c r="J7" i="7"/>
  <c r="K7" i="7" s="1"/>
  <c r="I7" i="7"/>
  <c r="J15" i="6"/>
  <c r="K15" i="6" s="1"/>
  <c r="I15" i="6"/>
  <c r="J14" i="6"/>
  <c r="K14" i="6" s="1"/>
  <c r="I14" i="6"/>
  <c r="J13" i="6"/>
  <c r="K13" i="6" s="1"/>
  <c r="I13" i="6"/>
  <c r="K12" i="6"/>
  <c r="J12" i="6"/>
  <c r="I12" i="6"/>
  <c r="J11" i="6"/>
  <c r="K11" i="6" s="1"/>
  <c r="I11" i="6"/>
  <c r="J10" i="6"/>
  <c r="K10" i="6" s="1"/>
  <c r="I10" i="6"/>
  <c r="J9" i="6"/>
  <c r="K9" i="6" s="1"/>
  <c r="I9" i="6"/>
  <c r="J8" i="6"/>
  <c r="K8" i="6" s="1"/>
  <c r="I8" i="6"/>
  <c r="J7" i="6"/>
  <c r="K7" i="6" s="1"/>
  <c r="I7" i="6"/>
  <c r="I16" i="6" s="1"/>
  <c r="J33" i="5"/>
  <c r="K33" i="5" s="1"/>
  <c r="I33" i="5"/>
  <c r="J32" i="5"/>
  <c r="K32" i="5" s="1"/>
  <c r="I32" i="5"/>
  <c r="J31" i="5"/>
  <c r="K31" i="5" s="1"/>
  <c r="I31" i="5"/>
  <c r="J30" i="5"/>
  <c r="K30" i="5" s="1"/>
  <c r="I30" i="5"/>
  <c r="J29" i="5"/>
  <c r="K29" i="5" s="1"/>
  <c r="I29" i="5"/>
  <c r="J28" i="5"/>
  <c r="K28" i="5" s="1"/>
  <c r="I28" i="5"/>
  <c r="J27" i="5"/>
  <c r="K27" i="5" s="1"/>
  <c r="I27" i="5"/>
  <c r="K26" i="5"/>
  <c r="J26" i="5"/>
  <c r="I26" i="5"/>
  <c r="J25" i="5"/>
  <c r="K25" i="5" s="1"/>
  <c r="I25" i="5"/>
  <c r="K15" i="5"/>
  <c r="J15" i="5"/>
  <c r="I15" i="5"/>
  <c r="J14" i="5"/>
  <c r="K14" i="5" s="1"/>
  <c r="I14" i="5"/>
  <c r="J13" i="5"/>
  <c r="K13" i="5" s="1"/>
  <c r="I13" i="5"/>
  <c r="J12" i="5"/>
  <c r="K12" i="5" s="1"/>
  <c r="I12" i="5"/>
  <c r="J11" i="5"/>
  <c r="K11" i="5" s="1"/>
  <c r="I11" i="5"/>
  <c r="J10" i="5"/>
  <c r="K10" i="5" s="1"/>
  <c r="I10" i="5"/>
  <c r="J9" i="5"/>
  <c r="K9" i="5" s="1"/>
  <c r="I9" i="5"/>
  <c r="J8" i="5"/>
  <c r="K8" i="5" s="1"/>
  <c r="I8" i="5"/>
  <c r="J7" i="5"/>
  <c r="K7" i="5" s="1"/>
  <c r="I7" i="5"/>
  <c r="F40" i="22"/>
  <c r="F49" i="22"/>
  <c r="F27" i="2"/>
  <c r="F35" i="2"/>
  <c r="F23" i="2"/>
  <c r="F41" i="22"/>
  <c r="F26" i="2"/>
  <c r="F47" i="22" l="1"/>
  <c r="G13" i="8"/>
  <c r="I31" i="8"/>
  <c r="I16" i="7"/>
  <c r="I16" i="5"/>
  <c r="K31" i="8"/>
  <c r="K16" i="7"/>
  <c r="K16" i="6"/>
  <c r="I34" i="5"/>
  <c r="K34" i="5"/>
  <c r="K16" i="5"/>
  <c r="D4" i="8" l="1"/>
  <c r="G10" i="4"/>
  <c r="G11" i="4"/>
  <c r="G12" i="4"/>
  <c r="J30" i="4"/>
  <c r="K30" i="4" s="1"/>
  <c r="I30" i="4"/>
  <c r="J29" i="4"/>
  <c r="K29" i="4" s="1"/>
  <c r="I29" i="4"/>
  <c r="J28" i="4"/>
  <c r="K28" i="4" s="1"/>
  <c r="I28" i="4"/>
  <c r="J27" i="4"/>
  <c r="K27" i="4" s="1"/>
  <c r="I27" i="4"/>
  <c r="J26" i="4"/>
  <c r="K26" i="4" s="1"/>
  <c r="I26" i="4"/>
  <c r="J25" i="4"/>
  <c r="K25" i="4" s="1"/>
  <c r="I25" i="4"/>
  <c r="J24" i="4"/>
  <c r="K24" i="4" s="1"/>
  <c r="I24" i="4"/>
  <c r="J23" i="4"/>
  <c r="K23" i="4" s="1"/>
  <c r="I23" i="4"/>
  <c r="J22" i="4"/>
  <c r="K22" i="4" s="1"/>
  <c r="I22" i="4"/>
  <c r="J33" i="1"/>
  <c r="K33" i="1" s="1"/>
  <c r="I33" i="1"/>
  <c r="J32" i="1"/>
  <c r="K32" i="1" s="1"/>
  <c r="I32" i="1"/>
  <c r="J31" i="1"/>
  <c r="K31" i="1" s="1"/>
  <c r="I31" i="1"/>
  <c r="J30" i="1"/>
  <c r="K30" i="1" s="1"/>
  <c r="I30" i="1"/>
  <c r="J29" i="1"/>
  <c r="K29" i="1" s="1"/>
  <c r="I29" i="1"/>
  <c r="J28" i="1"/>
  <c r="K28" i="1" s="1"/>
  <c r="I28" i="1"/>
  <c r="J27" i="1"/>
  <c r="K27" i="1" s="1"/>
  <c r="I27" i="1"/>
  <c r="J26" i="1"/>
  <c r="K26" i="1" s="1"/>
  <c r="I26" i="1"/>
  <c r="J25" i="1"/>
  <c r="K25" i="1" s="1"/>
  <c r="I25" i="1"/>
  <c r="J7" i="1"/>
  <c r="K7" i="1" s="1"/>
  <c r="J8" i="1"/>
  <c r="K8" i="1" s="1"/>
  <c r="J9" i="1"/>
  <c r="K9" i="1" s="1"/>
  <c r="J10" i="1"/>
  <c r="K10" i="1" s="1"/>
  <c r="J11" i="1"/>
  <c r="K11" i="1" s="1"/>
  <c r="J12" i="1"/>
  <c r="K12" i="1" s="1"/>
  <c r="J13" i="1"/>
  <c r="K13" i="1" s="1"/>
  <c r="J14" i="1"/>
  <c r="K14" i="1" s="1"/>
  <c r="J15" i="1"/>
  <c r="K15" i="1" s="1"/>
  <c r="I7" i="1"/>
  <c r="I8" i="1"/>
  <c r="I9" i="1"/>
  <c r="I10" i="1"/>
  <c r="I11" i="1"/>
  <c r="I12" i="1"/>
  <c r="I13" i="1"/>
  <c r="I14" i="1"/>
  <c r="I15" i="1"/>
  <c r="F38" i="22"/>
  <c r="F22" i="2"/>
  <c r="F24" i="2"/>
  <c r="F36" i="22"/>
  <c r="F34" i="2"/>
  <c r="F35" i="22" l="1"/>
  <c r="F33" i="22" s="1"/>
  <c r="F33" i="2"/>
  <c r="F21" i="2"/>
  <c r="G13" i="4"/>
  <c r="I34" i="1"/>
  <c r="I31" i="4"/>
  <c r="K31" i="4"/>
  <c r="K34" i="1"/>
  <c r="I16" i="1"/>
  <c r="K16" i="1"/>
  <c r="F54" i="22" l="1"/>
  <c r="P54" i="22" s="1"/>
  <c r="F55" i="22"/>
  <c r="P55" i="22" s="1"/>
  <c r="F53" i="22"/>
  <c r="D4" i="4"/>
  <c r="F19" i="2"/>
  <c r="P53" i="22" l="1"/>
  <c r="F52" i="22"/>
  <c r="F32" i="22" s="1"/>
  <c r="F39" i="2"/>
  <c r="P39" i="2" s="1"/>
  <c r="F40" i="2"/>
  <c r="P40" i="2" s="1"/>
  <c r="F41" i="2"/>
  <c r="P41" i="2" s="1"/>
  <c r="F62" i="22" l="1"/>
  <c r="F63" i="22"/>
  <c r="P62" i="22" s="1"/>
  <c r="F38" i="2"/>
  <c r="F18" i="2" s="1"/>
  <c r="P61" i="22" l="1"/>
  <c r="F61" i="22"/>
  <c r="F47" i="2"/>
  <c r="P47" i="2" s="1"/>
  <c r="F48" i="2"/>
  <c r="P48" i="2" s="1"/>
  <c r="F70" i="22" l="1"/>
  <c r="P69" i="22" s="1"/>
  <c r="F46" i="2"/>
  <c r="F71" i="22" l="1"/>
  <c r="F78" i="22" s="1"/>
  <c r="G78" i="22" s="1"/>
  <c r="F55" i="2"/>
  <c r="P55" i="2" s="1"/>
  <c r="F82" i="22" l="1"/>
  <c r="G82" i="22" s="1"/>
  <c r="F80" i="22"/>
  <c r="G80" i="22" s="1"/>
  <c r="F79" i="22"/>
  <c r="G79" i="22" s="1"/>
  <c r="F77" i="22"/>
  <c r="G77" i="22" s="1"/>
  <c r="F81" i="22"/>
  <c r="G81" i="22" s="1"/>
  <c r="F72" i="22"/>
  <c r="F73" i="22" s="1"/>
  <c r="F56" i="2"/>
  <c r="G83" i="22" l="1"/>
  <c r="F83" i="22"/>
  <c r="F64" i="2"/>
  <c r="G64" i="2" s="1"/>
  <c r="F65" i="2"/>
  <c r="G65" i="2" s="1"/>
  <c r="F66" i="2"/>
  <c r="G66" i="2" s="1"/>
  <c r="F67" i="2"/>
  <c r="G67" i="2" s="1"/>
  <c r="F62" i="2"/>
  <c r="F63" i="2"/>
  <c r="G63" i="2" s="1"/>
  <c r="F57" i="2"/>
  <c r="F58" i="2" s="1"/>
  <c r="F68" i="2" l="1"/>
  <c r="G62" i="2"/>
  <c r="G6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Morteza Sarraf Sandvad</author>
  </authors>
  <commentList>
    <comment ref="D29" authorId="0" shapeId="0" xr:uid="{9656959D-D7D2-40F5-802A-C611C78F1A9E}">
      <text>
        <r>
          <rPr>
            <b/>
            <sz val="9"/>
            <color indexed="81"/>
            <rFont val="Tahoma"/>
            <family val="2"/>
          </rPr>
          <t>Morteza Sarraf Sandvad:</t>
        </r>
        <r>
          <rPr>
            <sz val="9"/>
            <color indexed="81"/>
            <rFont val="Tahoma"/>
            <family val="2"/>
          </rPr>
          <t xml:space="preserve">
Denne er tidligere vurderet til 1,2 mio, men uden nogen datagrundlag for det.</t>
        </r>
      </text>
    </comment>
    <comment ref="D31" authorId="0" shapeId="0" xr:uid="{137E9A81-FA1E-47BF-9E0A-34E84A3F709D}">
      <text>
        <r>
          <rPr>
            <b/>
            <sz val="9"/>
            <color indexed="81"/>
            <rFont val="Tahoma"/>
            <family val="2"/>
          </rPr>
          <t>Morteza Sarraf Sandvad:</t>
        </r>
        <r>
          <rPr>
            <sz val="9"/>
            <color indexed="81"/>
            <rFont val="Tahoma"/>
            <family val="2"/>
          </rPr>
          <t xml:space="preserve">
Afstem med Rasmus om prisen for BMS er for lav?</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726DE20-24A4-4532-8833-5CC898347CA7}" name="Connection" type="104" refreshedVersion="0" background="1">
    <extLst>
      <ext xmlns:x15="http://schemas.microsoft.com/office/spreadsheetml/2010/11/main" uri="{DE250136-89BD-433C-8126-D09CA5730AF9}">
        <x15:connection id="Beregninger"/>
      </ext>
    </extLst>
  </connection>
  <connection id="2" xr16:uid="{E8E65203-DA9C-41F2-9215-6141CA385C47}" keepAlive="1" name="ModelConnection_ExternalData_2" description="Data Model" type="5" refreshedVersion="8" minRefreshableVersion="5" saveData="1">
    <dbPr connection="Data Model Connection" command="Data samlet" commandType="3"/>
    <extLst>
      <ext xmlns:x15="http://schemas.microsoft.com/office/spreadsheetml/2010/11/main" uri="{DE250136-89BD-433C-8126-D09CA5730AF9}">
        <x15:connection id="" model="1"/>
      </ext>
    </extLst>
  </connection>
  <connection id="3" xr16:uid="{DF10E392-C6B4-4FC4-A080-811BB1041B0F}" keepAlive="1" name="ModelConnection_ExternalData_4" description="Data Model" type="5" refreshedVersion="8" minRefreshableVersion="5" saveData="1">
    <dbPr connection="Data Model Connection" command="Stamdata" commandType="3"/>
    <extLst>
      <ext xmlns:x15="http://schemas.microsoft.com/office/spreadsheetml/2010/11/main" uri="{DE250136-89BD-433C-8126-D09CA5730AF9}">
        <x15:connection id="" model="1"/>
      </ext>
    </extLst>
  </connection>
  <connection id="4" xr16:uid="{AA6297DE-2425-4B97-BA8B-E4210D5E46D4}" keepAlive="1" name="Query - Data Molio" description="Connection to the 'Data Molio' query in the workbook." type="5" refreshedVersion="0" background="1">
    <dbPr connection="Provider=Microsoft.Mashup.OleDb.1;Data Source=$Workbook$;Location=&quot;Data Molio&quot;;Extended Properties=&quot;&quot;" command="SELECT * FROM [Data Molio]"/>
  </connection>
  <connection id="5" xr16:uid="{6E32F51D-9C6D-4531-8DB1-D2B9A7D04A9E}" keepAlive="1" name="Query - Data Samleark" description="Connection to the 'Data Samleark' query in the workbook." type="5" refreshedVersion="0" background="1" saveData="1">
    <dbPr connection="Provider=Microsoft.Mashup.OleDb.1;Data Source=$Workbook$;Location=&quot;Data Samleark&quot;;Extended Properties=&quot;&quot;" command="SELECT * FROM [Data Samleark]"/>
  </connection>
  <connection id="6" xr16:uid="{AC93871D-0737-4C11-9D2B-D1420B2A05C7}" name="Query - Data samlet" description="Connection to the 'Data samlet' query in the workbook." type="100" refreshedVersion="8" minRefreshableVersion="5">
    <extLst>
      <ext xmlns:x15="http://schemas.microsoft.com/office/spreadsheetml/2010/11/main" uri="{DE250136-89BD-433C-8126-D09CA5730AF9}">
        <x15:connection id="b9cb11eb-6e1e-4224-870d-f35656569b6a"/>
      </ext>
    </extLst>
  </connection>
  <connection id="7" xr16:uid="{ADC6BCB1-6F46-430B-9332-D0ABE2C26300}" keepAlive="1" name="Query - Data SK" description="Connection to the 'Data SK' query in the workbook." type="5" refreshedVersion="0" background="1">
    <dbPr connection="Provider=Microsoft.Mashup.OleDb.1;Data Source=$Workbook$;Location=&quot;Data SK&quot;;Extended Properties=&quot;&quot;" command="SELECT * FROM [Data SK]"/>
  </connection>
  <connection id="8" xr16:uid="{B695504E-77EA-4EB5-83D4-5EA58D72DA49}" name="Query - Dimensioner" description="Connection to the 'Dimensioner' query in the workbook." type="100" refreshedVersion="8" minRefreshableVersion="5">
    <extLst>
      <ext xmlns:x15="http://schemas.microsoft.com/office/spreadsheetml/2010/11/main" uri="{DE250136-89BD-433C-8126-D09CA5730AF9}">
        <x15:connection id="b1875e40-15de-4c20-a6a8-3fdcf8adfa17"/>
      </ext>
    </extLst>
  </connection>
  <connection id="9" xr16:uid="{81FE115C-40FE-4EA4-8606-ABCB8D070FA0}" name="Query - Stamdata" description="Connection to the 'Stamdata' query in the workbook." type="100" refreshedVersion="8" minRefreshableVersion="5">
    <extLst>
      <ext xmlns:x15="http://schemas.microsoft.com/office/spreadsheetml/2010/11/main" uri="{DE250136-89BD-433C-8126-D09CA5730AF9}">
        <x15:connection id="43ad140a-a0bc-449d-b5bd-6560a9243406"/>
      </ext>
    </extLst>
  </connection>
  <connection id="10" xr16:uid="{3FF97D66-8DE6-4505-886A-BAD1ADDFEC2D}" keepAlive="1" name="Query - Tabel_Samleark" description="Connection to the 'Tabel_Samleark' query in the workbook." type="5" refreshedVersion="0" background="1">
    <dbPr connection="Provider=Microsoft.Mashup.OleDb.1;Data Source=$Workbook$;Location=Tabel_Samleark;Extended Properties=&quot;&quot;" command="SELECT * FROM [Tabel_Samleark]"/>
  </connection>
  <connection id="11" xr16:uid="{F4FF8D72-F041-4BAF-AED3-DC91DE7C98B4}"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<sst xmlns="http://schemas.openxmlformats.org/spreadsheetml/2006/main" count="1066" uniqueCount="456">
  <si>
    <t>Beskrivelse</t>
  </si>
  <si>
    <t>Mængde</t>
  </si>
  <si>
    <t>Enhed</t>
  </si>
  <si>
    <t>m.
Den forventede værdi (middelværdi)</t>
  </si>
  <si>
    <t>s.
spredningen
(standardafvigelsen)</t>
  </si>
  <si>
    <t>v.
varians (s2x10-7)</t>
  </si>
  <si>
    <t>Skriv kun i disse kolloner</t>
  </si>
  <si>
    <t>Skriv ikke i disse kolonner</t>
  </si>
  <si>
    <t>1.1.1</t>
  </si>
  <si>
    <t>Nedrivning af vægge</t>
  </si>
  <si>
    <t>1.1.2</t>
  </si>
  <si>
    <t>Nedrivning af lofter</t>
  </si>
  <si>
    <t>1.1.3</t>
  </si>
  <si>
    <t>Gulv- og trappefjernelse</t>
  </si>
  <si>
    <t>1.1.4</t>
  </si>
  <si>
    <t>Døre, vinduer og inventar</t>
  </si>
  <si>
    <t>1.1.5</t>
  </si>
  <si>
    <t>Fjernelse af gamle elinstallationer og kabler</t>
  </si>
  <si>
    <t>1.1.6</t>
  </si>
  <si>
    <t>Demontering af ventilationsanlæg og VVS-installationer</t>
  </si>
  <si>
    <t>1.1.7</t>
  </si>
  <si>
    <t>Nedtagning af radiatorer og varmerør</t>
  </si>
  <si>
    <t>1.1.8</t>
  </si>
  <si>
    <t>Miljøsanering</t>
  </si>
  <si>
    <t>m2</t>
  </si>
  <si>
    <t>Pris pr. enhed</t>
  </si>
  <si>
    <t>1.1</t>
  </si>
  <si>
    <t>a. 
Den absolut mindste enhedspris, der forekommer mulig
(Optimistisk)</t>
  </si>
  <si>
    <t>b. 
Den mest sandsynlige enhedspris</t>
  </si>
  <si>
    <t>c. 
Den absolut størst tænkelige enhedspris
(pessimistisk)</t>
  </si>
  <si>
    <t>OBS! Pris pr. enhed</t>
  </si>
  <si>
    <t>Beregnes automatisk</t>
  </si>
  <si>
    <t>2.1.1</t>
  </si>
  <si>
    <t>Facade- og vægnedrivning</t>
  </si>
  <si>
    <t>2.1.2</t>
  </si>
  <si>
    <t>Nedtagning af vinduer, døre</t>
  </si>
  <si>
    <t>2.1.3</t>
  </si>
  <si>
    <t>2.1.4</t>
  </si>
  <si>
    <t>2.1.5</t>
  </si>
  <si>
    <t>2.1.6</t>
  </si>
  <si>
    <t>2.1</t>
  </si>
  <si>
    <t>1.3</t>
  </si>
  <si>
    <t>Gulv i alt - successiv kalkulation</t>
  </si>
  <si>
    <t>Beregnet budget</t>
  </si>
  <si>
    <t>Reference</t>
  </si>
  <si>
    <t>Fliser</t>
  </si>
  <si>
    <t>Linoleum på betongulv</t>
  </si>
  <si>
    <t>Epoxy</t>
  </si>
  <si>
    <t>Molio Rød: (43)22.05,03</t>
  </si>
  <si>
    <t>Molio Rød: (43)26.10,01</t>
  </si>
  <si>
    <t>Molio Rød: (43)27.10,01</t>
  </si>
  <si>
    <t>Skriv ikke i disse kolonner — beregnes automatisk</t>
  </si>
  <si>
    <t>Nedbrydning</t>
  </si>
  <si>
    <t>Gulv</t>
  </si>
  <si>
    <t>1.3.1</t>
  </si>
  <si>
    <t>1.3.2</t>
  </si>
  <si>
    <t>1.3.3</t>
  </si>
  <si>
    <t>Samlet beregnet budget</t>
  </si>
  <si>
    <t>Vær opmærksom på, at en specifik udgift kun må fremgå i én af nedenstående tabeller</t>
  </si>
  <si>
    <t>Gulv i alt - Molio-benchmark</t>
  </si>
  <si>
    <t>Udfyld  kun mængde</t>
  </si>
  <si>
    <t>Indvendig nedbrydningsarbejde i alt - successiv kalkulation</t>
  </si>
  <si>
    <t>Udvendig nedbrydningsarbejde i alt - successiv kalkulation</t>
  </si>
  <si>
    <t>Indvendig tømrerarbejde i alt - successiv kalkulation</t>
  </si>
  <si>
    <t>Udvendig tømrerarbejde i alt - successiv kalkulation</t>
  </si>
  <si>
    <t>1.2</t>
  </si>
  <si>
    <t>2.2</t>
  </si>
  <si>
    <t>1.2.1</t>
  </si>
  <si>
    <t>Lofter</t>
  </si>
  <si>
    <t>1.2.2</t>
  </si>
  <si>
    <t>Vægge</t>
  </si>
  <si>
    <t>2.2.1</t>
  </si>
  <si>
    <t>2.2.2</t>
  </si>
  <si>
    <t>Vinduer</t>
  </si>
  <si>
    <t>Døre</t>
  </si>
  <si>
    <t>Tømrer</t>
  </si>
  <si>
    <t>1.4</t>
  </si>
  <si>
    <t>Murer</t>
  </si>
  <si>
    <t>1.5</t>
  </si>
  <si>
    <t>Maler</t>
  </si>
  <si>
    <t>1.6</t>
  </si>
  <si>
    <t>VVS</t>
  </si>
  <si>
    <t>1.7</t>
  </si>
  <si>
    <t>Ventilation</t>
  </si>
  <si>
    <t>1.8</t>
  </si>
  <si>
    <t>El</t>
  </si>
  <si>
    <t>1.9</t>
  </si>
  <si>
    <t>Svagstrøm</t>
  </si>
  <si>
    <t>1.10</t>
  </si>
  <si>
    <t>2.3</t>
  </si>
  <si>
    <t>Anlægsarbejder i jord</t>
  </si>
  <si>
    <t>1.</t>
  </si>
  <si>
    <t>Indvendige arbejder</t>
  </si>
  <si>
    <t>2.</t>
  </si>
  <si>
    <t>Udvendige arbejder (SKAL koordineres med AU-Bygninger)</t>
  </si>
  <si>
    <t>1.4.1</t>
  </si>
  <si>
    <t>Opmuring og reparation af vægge</t>
  </si>
  <si>
    <t>1.4.2</t>
  </si>
  <si>
    <t>Pudsning og vandskuring</t>
  </si>
  <si>
    <t>1.4.3</t>
  </si>
  <si>
    <t>Badeværelsesrenovering</t>
  </si>
  <si>
    <t>1.4.4</t>
  </si>
  <si>
    <t>1.4.5</t>
  </si>
  <si>
    <t>1.4.6</t>
  </si>
  <si>
    <t>Indvendig murerarbejde i alt - successiv kalkulation</t>
  </si>
  <si>
    <t>1.5.1</t>
  </si>
  <si>
    <t>Maling af vægge og lofter (gips, beton, mursten, træ)</t>
  </si>
  <si>
    <t>1.5.2</t>
  </si>
  <si>
    <t>Spartling og klargøring af vægge før maling</t>
  </si>
  <si>
    <t>1.5.3</t>
  </si>
  <si>
    <t>Opsætning af filt, væv eller tapet</t>
  </si>
  <si>
    <t>1.5.4</t>
  </si>
  <si>
    <t>Lakering eller lasering af træværk (paneler, døre, vinduer)</t>
  </si>
  <si>
    <t>1.5.5</t>
  </si>
  <si>
    <t>Maling af køkkener og badeværelser med fugtbestandig maling</t>
  </si>
  <si>
    <t>1.5.6</t>
  </si>
  <si>
    <t>Indvendig malerarbejde i alt - successiv kalkulation</t>
  </si>
  <si>
    <t>1.6.1</t>
  </si>
  <si>
    <t>1.6.2</t>
  </si>
  <si>
    <t>1.6.3</t>
  </si>
  <si>
    <t>VVS i alt - successiv kalkulation</t>
  </si>
  <si>
    <t>VVS i alt - Molio-benchmark</t>
  </si>
  <si>
    <t>Sprinkling</t>
  </si>
  <si>
    <t>Laboratorier — VVS-arbejder (inkl. Toiletter og armaturer)</t>
  </si>
  <si>
    <t>Administration — VVS-arbejder (inkl. Toiletter og armaturer)</t>
  </si>
  <si>
    <t>brutto m2</t>
  </si>
  <si>
    <t>Molio Rød: (99)05.50,06, (99)05.50,07, (99)05.50,08, (99)05.50,13</t>
  </si>
  <si>
    <t>Molio Rød: (99)05.46,06, (99)05.46,07, (99)05.46,08, (99)05.46,14</t>
  </si>
  <si>
    <t>Molio Gul: (58)14.05,02</t>
  </si>
  <si>
    <t>1.7.1</t>
  </si>
  <si>
    <t>1.7.2</t>
  </si>
  <si>
    <t>1.7.3</t>
  </si>
  <si>
    <t>Ventilation i alt - Molio-benchmark</t>
  </si>
  <si>
    <t>Ventilation i alt - successiv kalkulation</t>
  </si>
  <si>
    <t>Ventilation i administrationsbygninger</t>
  </si>
  <si>
    <t>Køling i administrationsbygninger</t>
  </si>
  <si>
    <t>Ventilation i Laboratorier, middel</t>
  </si>
  <si>
    <t>Køling i Laboratorier, middel</t>
  </si>
  <si>
    <t>Molio Rød: (99)05.50,10</t>
  </si>
  <si>
    <t>Molio Rød: (99)05.50,11</t>
  </si>
  <si>
    <t>Molio Rød: (99)05.46,11</t>
  </si>
  <si>
    <t>Molio Rød: (99)05.46,12</t>
  </si>
  <si>
    <t>1.8.1</t>
  </si>
  <si>
    <t>1.8.2</t>
  </si>
  <si>
    <t>1.8.3</t>
  </si>
  <si>
    <t>Elinstallationer i administrationsbygninger</t>
  </si>
  <si>
    <t>Elinstallationer i Laboratorier, middel</t>
  </si>
  <si>
    <t>Molio Rød: (69)63.05,12</t>
  </si>
  <si>
    <t>AIA kontor pr. 1000m2 inkl. skalsikring</t>
  </si>
  <si>
    <t>AIA laboriatorier pr. 1000m2</t>
  </si>
  <si>
    <t>1.9.1</t>
  </si>
  <si>
    <t>1.9.2</t>
  </si>
  <si>
    <t>1.9.3</t>
  </si>
  <si>
    <t>Brand (ABA-Anlæg)</t>
  </si>
  <si>
    <t>1.9.4</t>
  </si>
  <si>
    <t>1.9.5</t>
  </si>
  <si>
    <t>Arbejdsstationer (kabling, pds-stik)</t>
  </si>
  <si>
    <t>1.9.6</t>
  </si>
  <si>
    <t>1.9.7</t>
  </si>
  <si>
    <t>Særbelysning</t>
  </si>
  <si>
    <t>1.9.8</t>
  </si>
  <si>
    <t>1.9.9</t>
  </si>
  <si>
    <t>1.9.10</t>
  </si>
  <si>
    <t>Svagstrøm i alt - successiv kalkulation</t>
  </si>
  <si>
    <t>Svagstrøm i alt - Molio-benchmark</t>
  </si>
  <si>
    <t>stk</t>
  </si>
  <si>
    <t>BMS kontor</t>
  </si>
  <si>
    <t>BMS laboratorier</t>
  </si>
  <si>
    <t>Molio Rød (64)46.35,01 + (64)46.35,03</t>
  </si>
  <si>
    <t>Molio Rød (64)46.30,01</t>
  </si>
  <si>
    <t>1.10.1</t>
  </si>
  <si>
    <t>1.10.2</t>
  </si>
  <si>
    <t>1.10.3</t>
  </si>
  <si>
    <t>BMS i alt - Molio-benchmark</t>
  </si>
  <si>
    <t>Anlægsarbejde i jord i alt - successiv kalkulation</t>
  </si>
  <si>
    <t>Jordarbejde og terrænregulering</t>
  </si>
  <si>
    <t>Rør- og kloakarbejde</t>
  </si>
  <si>
    <t>Vej- og stianlæg</t>
  </si>
  <si>
    <t>Kabel- og ledningsarbejde</t>
  </si>
  <si>
    <t>2.3.1</t>
  </si>
  <si>
    <t>2.3.2</t>
  </si>
  <si>
    <t>2.3.3</t>
  </si>
  <si>
    <t>2.3.4</t>
  </si>
  <si>
    <t>2.3.5</t>
  </si>
  <si>
    <t>2.3.6</t>
  </si>
  <si>
    <t>4.1.1</t>
  </si>
  <si>
    <t>Stole, borde og sofaer</t>
  </si>
  <si>
    <t>4.1.2</t>
  </si>
  <si>
    <t>Reoler og skabe, der ikke er fastmonteret</t>
  </si>
  <si>
    <t>4.1.3</t>
  </si>
  <si>
    <t>Skriveborde og kontormøbler</t>
  </si>
  <si>
    <t>4.1.4</t>
  </si>
  <si>
    <t>Computere, printere og skærme</t>
  </si>
  <si>
    <t>4.1.5</t>
  </si>
  <si>
    <t>Kaffemaskiner og elkedler</t>
  </si>
  <si>
    <t>4.1.6</t>
  </si>
  <si>
    <t>Lamper og belysning</t>
  </si>
  <si>
    <t>4.1.7</t>
  </si>
  <si>
    <t>Køleskabe og frysere</t>
  </si>
  <si>
    <t>4.1.8</t>
  </si>
  <si>
    <t>Mikrobølgeovne og fritstående komfurer</t>
  </si>
  <si>
    <t>4.1.9</t>
  </si>
  <si>
    <t>Opvaskemaskiner</t>
  </si>
  <si>
    <t>4.1.10</t>
  </si>
  <si>
    <t>Stink skabe</t>
  </si>
  <si>
    <t>4.1.11</t>
  </si>
  <si>
    <t>Laboratorieudstyr</t>
  </si>
  <si>
    <t>4.1.12</t>
  </si>
  <si>
    <t>4.1</t>
  </si>
  <si>
    <t>Løst inventar i alt - successiv kalkulation</t>
  </si>
  <si>
    <t>Gardiner</t>
  </si>
  <si>
    <t>Folie</t>
  </si>
  <si>
    <t>Fastmonterede køkkenelementer (skabe, bordplader)</t>
  </si>
  <si>
    <t>Indbyggede hårde hvidevarer (ovn, kogeplader, emhætte)</t>
  </si>
  <si>
    <t>Vaskeskabe og spejlskabe i badeværelser</t>
  </si>
  <si>
    <t>Faste vaskeborde og bordplader</t>
  </si>
  <si>
    <t>5.1</t>
  </si>
  <si>
    <t>Fast inventar i alt - successiv kalkulation</t>
  </si>
  <si>
    <t>Jord</t>
  </si>
  <si>
    <t>Fanenavn</t>
  </si>
  <si>
    <t>Indvendig nedbrydningsarbejde — successiv kalkulation</t>
  </si>
  <si>
    <t>Udvendig nedbrydning — successiv kalkulation</t>
  </si>
  <si>
    <t>Indvendig tømrerarbejde — successiv kalkulation</t>
  </si>
  <si>
    <t>Udvendig tømrerarbejde — successiv kalkulation</t>
  </si>
  <si>
    <t>Gulv — i alt</t>
  </si>
  <si>
    <t>Gulv — Molio-benchmark</t>
  </si>
  <si>
    <t>Gulv — successiv kalkulation</t>
  </si>
  <si>
    <t>Indvendig murerarbejde — successiv kalkulation</t>
  </si>
  <si>
    <t>Indvendig malerarbejde — successiv kalkulation</t>
  </si>
  <si>
    <t>VVS — i alt</t>
  </si>
  <si>
    <t>VVS — Molio-benchmark</t>
  </si>
  <si>
    <t>VVS — successiv kalkulation</t>
  </si>
  <si>
    <t>Ventilation — i alt</t>
  </si>
  <si>
    <t>Ventilation — Molio-benchmark</t>
  </si>
  <si>
    <t>Ventilation — successiv kalkulation</t>
  </si>
  <si>
    <t>Svagstrøm — i alt</t>
  </si>
  <si>
    <t>Svagstrøm — Molio-benchmark</t>
  </si>
  <si>
    <t>Svagstrøm — successiv kalkulation</t>
  </si>
  <si>
    <t>Anlægsarbejde i jord — successiv kalkulation</t>
  </si>
  <si>
    <t>Løst inventar — successiv kalkulation</t>
  </si>
  <si>
    <t>Fast inventar — successiv kalkulation</t>
  </si>
  <si>
    <t>Stamdata</t>
  </si>
  <si>
    <t>Projektnavn</t>
  </si>
  <si>
    <t>Inventar</t>
  </si>
  <si>
    <t>Stærkstrøm</t>
  </si>
  <si>
    <t>Stærkstrøm — i alt</t>
  </si>
  <si>
    <t>Stærkstrøm — Molio-benchmark</t>
  </si>
  <si>
    <t>Stærkstrøm i alt - Molio-benchmark</t>
  </si>
  <si>
    <t>Stærkstrøm — successiv kalkulation</t>
  </si>
  <si>
    <t>Stærkstrøm i alt - successiv kalkulation</t>
  </si>
  <si>
    <t>1.8a</t>
  </si>
  <si>
    <t>1.8b</t>
  </si>
  <si>
    <t>1.9a</t>
  </si>
  <si>
    <t>1.9b</t>
  </si>
  <si>
    <t>1.3a</t>
  </si>
  <si>
    <t>1.3b</t>
  </si>
  <si>
    <t>1.6a</t>
  </si>
  <si>
    <t>1.6b</t>
  </si>
  <si>
    <t>1.7a</t>
  </si>
  <si>
    <t>1.7b</t>
  </si>
  <si>
    <t>1.10a</t>
  </si>
  <si>
    <t>1.10b</t>
  </si>
  <si>
    <t>Molio benchmark?</t>
  </si>
  <si>
    <t>Nej</t>
  </si>
  <si>
    <t>Ja</t>
  </si>
  <si>
    <t>Sagsnr.</t>
  </si>
  <si>
    <t>Budget</t>
  </si>
  <si>
    <t>Sagsopgave</t>
  </si>
  <si>
    <t>Punkt</t>
  </si>
  <si>
    <t>Estimat</t>
  </si>
  <si>
    <t>Fri indtastning</t>
  </si>
  <si>
    <t>Beløb</t>
  </si>
  <si>
    <t>3.</t>
  </si>
  <si>
    <t>Øvrige Bygningsdele</t>
  </si>
  <si>
    <t>3.1</t>
  </si>
  <si>
    <t>Byggepladsomkostninger (anstilling og nedtagning af byggeplads i byggeperioden)</t>
  </si>
  <si>
    <t>3.2</t>
  </si>
  <si>
    <t>Vinterforanstaltninger</t>
  </si>
  <si>
    <t>3.3</t>
  </si>
  <si>
    <t>Bæredygtighed (Certificeringsmulighed, materiale, komponenter mv.)</t>
  </si>
  <si>
    <t>Håndværkerudgifter</t>
  </si>
  <si>
    <t>Enterpriseudgifter</t>
  </si>
  <si>
    <t>Løst Inventar</t>
  </si>
  <si>
    <t>Fast Inventar</t>
  </si>
  <si>
    <t>Øvrige udgifter</t>
  </si>
  <si>
    <t>6.1</t>
  </si>
  <si>
    <t>6.2</t>
  </si>
  <si>
    <t>6.3</t>
  </si>
  <si>
    <t>6.4</t>
  </si>
  <si>
    <t>6.5</t>
  </si>
  <si>
    <t>Uforudsete udgifter</t>
  </si>
  <si>
    <t>Rådgiverhonorar</t>
  </si>
  <si>
    <t>DALUX</t>
  </si>
  <si>
    <t>Rengøring</t>
  </si>
  <si>
    <t>Myndighedsbehandling</t>
  </si>
  <si>
    <t>Gældende byggeindeks x. kvartal 20xx</t>
  </si>
  <si>
    <t>m2 pris (angiv den totale m2)</t>
  </si>
  <si>
    <t>Tekniske kolonner</t>
  </si>
  <si>
    <t>Beregningsfane</t>
  </si>
  <si>
    <t>% af Enterpriseudgift</t>
  </si>
  <si>
    <t>% af Håndværkerudgift</t>
  </si>
  <si>
    <t>Samleark</t>
  </si>
  <si>
    <t>Overskriv faneværdier</t>
  </si>
  <si>
    <t>Andel anlæg</t>
  </si>
  <si>
    <t>Oprunding til nærmeste 100.000 kr.</t>
  </si>
  <si>
    <t>Total byggeudgift med byggeindeks 3. kvartal 2024 rundet op til nærmeste 100.000 kr.</t>
  </si>
  <si>
    <t>Indtastninger fra samleark</t>
  </si>
  <si>
    <t>Felt</t>
  </si>
  <si>
    <t>Værdi</t>
  </si>
  <si>
    <t>Metode</t>
  </si>
  <si>
    <t>0</t>
  </si>
  <si>
    <t>Total</t>
  </si>
  <si>
    <t>Hovedpunkt</t>
  </si>
  <si>
    <t>Højreklik på tabellen og tryk Opdatér / Refresh, hvis du har ændret i filen</t>
  </si>
  <si>
    <t>Budget beløb</t>
  </si>
  <si>
    <t>Punktbeskrivelse</t>
  </si>
  <si>
    <t>3 Total</t>
  </si>
  <si>
    <t>6 Total</t>
  </si>
  <si>
    <t>Højreklik på pivottabellen og tryk Opdatér / Refresh, hvis du har ændret i filen</t>
  </si>
  <si>
    <t>6.7</t>
  </si>
  <si>
    <t>6.8</t>
  </si>
  <si>
    <t>Flytteomkostninger</t>
  </si>
  <si>
    <t>Reetableringsomkostninger</t>
  </si>
  <si>
    <t>Periodisering</t>
  </si>
  <si>
    <t>År</t>
  </si>
  <si>
    <t>Andel af byggeudgift</t>
  </si>
  <si>
    <t>Straksudgift</t>
  </si>
  <si>
    <t>Forventet startdato</t>
  </si>
  <si>
    <t>Forventet slutdato</t>
  </si>
  <si>
    <t>YBL-fase</t>
  </si>
  <si>
    <t>Ansvarlig PL</t>
  </si>
  <si>
    <t>Revisionsdato</t>
  </si>
  <si>
    <t>Revisionsnummer</t>
  </si>
  <si>
    <t>Godkendt af</t>
  </si>
  <si>
    <t>ID</t>
  </si>
  <si>
    <t>Håndværkerudgifter er entrepriseudgifter, som indebærer pkt. 1-3</t>
  </si>
  <si>
    <t>Entrepriseudgifter indebærer pkt. 1-2</t>
  </si>
  <si>
    <r>
      <t xml:space="preserve">Vælg </t>
    </r>
    <r>
      <rPr>
        <i/>
        <sz val="11"/>
        <color theme="1"/>
        <rFont val="Aptos Narrow"/>
        <family val="2"/>
        <scheme val="minor"/>
      </rPr>
      <t>enten</t>
    </r>
    <r>
      <rPr>
        <sz val="11"/>
        <color theme="1"/>
        <rFont val="Aptos Narrow"/>
        <family val="2"/>
        <scheme val="minor"/>
      </rPr>
      <t xml:space="preserve"> at bruge fanerne til den estimerede beregning </t>
    </r>
    <r>
      <rPr>
        <i/>
        <sz val="11"/>
        <color theme="1"/>
        <rFont val="Aptos Narrow"/>
        <family val="2"/>
        <scheme val="minor"/>
      </rPr>
      <t>eller</t>
    </r>
    <r>
      <rPr>
        <sz val="11"/>
        <color theme="1"/>
        <rFont val="Aptos Narrow"/>
        <family val="2"/>
        <scheme val="minor"/>
      </rPr>
      <t xml:space="preserve"> tast direkte ud for kategorierne ud fra erfaringspriser/skøn.
Priserne skal indeholde den samlede udgift til arbejdet: timepriser, materialer, levering og montering etc.
</t>
    </r>
  </si>
  <si>
    <r>
      <t xml:space="preserve">Vælg </t>
    </r>
    <r>
      <rPr>
        <i/>
        <sz val="11"/>
        <color theme="1"/>
        <rFont val="Aptos Narrow"/>
        <family val="2"/>
        <scheme val="minor"/>
      </rPr>
      <t>enten</t>
    </r>
    <r>
      <rPr>
        <sz val="11"/>
        <color theme="1"/>
        <rFont val="Aptos Narrow"/>
        <family val="2"/>
        <scheme val="minor"/>
      </rPr>
      <t xml:space="preserve"> at bruge fanerne til den estimerede beregning </t>
    </r>
    <r>
      <rPr>
        <i/>
        <sz val="11"/>
        <color theme="1"/>
        <rFont val="Aptos Narrow"/>
        <family val="2"/>
        <scheme val="minor"/>
      </rPr>
      <t>eller</t>
    </r>
    <r>
      <rPr>
        <sz val="11"/>
        <color theme="1"/>
        <rFont val="Aptos Narrow"/>
        <family val="2"/>
        <scheme val="minor"/>
      </rPr>
      <t xml:space="preserve"> tast direkte ud for kategorierne ud fra erfaringspriser/skøn.
Priserne skal indeholde den samlede udgift til arbejdet: timepriser, materialer, levering og montering etc.
</t>
    </r>
    <r>
      <rPr>
        <b/>
        <sz val="11"/>
        <color theme="1"/>
        <rFont val="Aptos Narrow"/>
        <family val="2"/>
        <scheme val="minor"/>
      </rPr>
      <t>OBS - SKAL koordineres med AU-Bygninger</t>
    </r>
    <r>
      <rPr>
        <sz val="11"/>
        <color theme="1"/>
        <rFont val="Aptos Narrow"/>
        <family val="2"/>
        <scheme val="minor"/>
      </rPr>
      <t xml:space="preserve">
</t>
    </r>
  </si>
  <si>
    <r>
      <t xml:space="preserve">Her udregnes priserne automatisk ud fra entrepriseudgiften, dvs. her skal </t>
    </r>
    <r>
      <rPr>
        <i/>
        <sz val="11"/>
        <color theme="1"/>
        <rFont val="Aptos Narrow"/>
        <family val="2"/>
        <scheme val="minor"/>
      </rPr>
      <t>ikke</t>
    </r>
    <r>
      <rPr>
        <sz val="11"/>
        <color theme="1"/>
        <rFont val="Aptos Narrow"/>
        <family val="2"/>
        <scheme val="minor"/>
      </rPr>
      <t xml:space="preserve"> udfyldes noget.</t>
    </r>
  </si>
  <si>
    <r>
      <t xml:space="preserve">Vælg </t>
    </r>
    <r>
      <rPr>
        <i/>
        <sz val="11"/>
        <color theme="1"/>
        <rFont val="Aptos Narrow"/>
        <family val="2"/>
        <scheme val="minor"/>
      </rPr>
      <t>enten</t>
    </r>
    <r>
      <rPr>
        <sz val="11"/>
        <color theme="1"/>
        <rFont val="Aptos Narrow"/>
        <family val="2"/>
        <scheme val="minor"/>
      </rPr>
      <t xml:space="preserve"> at bruge fanen Inventar til den estimerede beregning </t>
    </r>
    <r>
      <rPr>
        <i/>
        <sz val="11"/>
        <color theme="1"/>
        <rFont val="Aptos Narrow"/>
        <family val="2"/>
        <scheme val="minor"/>
      </rPr>
      <t>eller</t>
    </r>
    <r>
      <rPr>
        <sz val="11"/>
        <color theme="1"/>
        <rFont val="Aptos Narrow"/>
        <family val="2"/>
        <scheme val="minor"/>
      </rPr>
      <t xml:space="preserve"> tast et bud  på Inventar direkte ud fra erfaringspriser/skøn.
Priserne skal indeholde den samlede udgift til arbejdet: timepriser, materialer, levering og montering etc.</t>
    </r>
  </si>
  <si>
    <r>
      <t xml:space="preserve">Her udregnes priserne automatisk ud fra entrepriseudgiften + uforudsete udgifter, dvs. her skal </t>
    </r>
    <r>
      <rPr>
        <i/>
        <sz val="11"/>
        <color theme="1"/>
        <rFont val="Aptos Narrow"/>
        <family val="2"/>
        <scheme val="minor"/>
      </rPr>
      <t>ikke</t>
    </r>
    <r>
      <rPr>
        <sz val="11"/>
        <color theme="1"/>
        <rFont val="Aptos Narrow"/>
        <family val="2"/>
        <scheme val="minor"/>
      </rPr>
      <t xml:space="preserve"> udfyldes noget.</t>
    </r>
  </si>
  <si>
    <t>Her skal angives en skønnet pris/aftalt pris</t>
  </si>
  <si>
    <t>Her skal angives en skønnet pris</t>
  </si>
  <si>
    <t>Opdateres løbende med det gældende byggeindeks</t>
  </si>
  <si>
    <t>Angiv det totale antal kvadratmeter (bruttoareal) for projektet</t>
  </si>
  <si>
    <t>Periodisering af den totale byggeudgift, dvs. hvornår forventes det, at udgifterne falder.
Som projektet skrider frem må man gerne opdele byggeudgiften i straksudgifter og anlæg (afskrivninger)</t>
  </si>
  <si>
    <t>Vejledning</t>
  </si>
  <si>
    <t>Denne skabelon er til brug for hele projektperioden og opdateres for hver fase iht. byggestyringsprincipperne, da der skal foreligge et opdateret budget for hver fase.</t>
  </si>
  <si>
    <t>Der er frit valg mellem at udfylde de enkelte underarkfaner specifikt, eller udfylde priser/beløb direkte i Samlearket. I Samlearket må der kun tastes i de gule felter.</t>
  </si>
  <si>
    <r>
      <t xml:space="preserve">Bemærk, at der i Samlearket er procentfordelinger ved nogle budgetposter, der udregnes automatisk, dvs. her skal </t>
    </r>
    <r>
      <rPr>
        <i/>
        <sz val="11"/>
        <color theme="1"/>
        <rFont val="Aptos Narrow"/>
        <family val="2"/>
        <scheme val="minor"/>
      </rPr>
      <t xml:space="preserve">ikke </t>
    </r>
    <r>
      <rPr>
        <sz val="11"/>
        <color theme="1"/>
        <rFont val="Aptos Narrow"/>
        <family val="2"/>
        <scheme val="minor"/>
      </rPr>
      <t>udfyldes noget - eksempelvis vedr. Øvrige Bygningsdele.</t>
    </r>
  </si>
  <si>
    <t>Et sigende projektnavn</t>
  </si>
  <si>
    <t>Navn på ansvarlig projektleder</t>
  </si>
  <si>
    <t>Navision-sagsnummer indsættes, når dette forefindes</t>
  </si>
  <si>
    <t>Vælg fase fra drop-down-menuen</t>
  </si>
  <si>
    <t>Vælg "version" af gældende revision</t>
  </si>
  <si>
    <t>Projektets forventede færdiggørelsesdato</t>
  </si>
  <si>
    <t>Andel af omkostningerne som skal anlægsaktiveres (i udgangspunktet 30%)</t>
  </si>
  <si>
    <t>Navn på godkender af denne revision</t>
  </si>
  <si>
    <t>Dato for denne revision af projektet</t>
  </si>
  <si>
    <r>
      <t xml:space="preserve">Hvis der vælges fri indtastning i nogle af de gule felter, medtages det beregnede budget </t>
    </r>
    <r>
      <rPr>
        <b/>
        <sz val="11"/>
        <color theme="1"/>
        <rFont val="Aptos Narrow"/>
        <family val="2"/>
        <scheme val="minor"/>
      </rPr>
      <t>ikke</t>
    </r>
    <r>
      <rPr>
        <sz val="11"/>
        <color theme="1"/>
        <rFont val="Aptos Narrow"/>
        <family val="2"/>
        <scheme val="minor"/>
      </rPr>
      <t xml:space="preserve"> for dette punkt. Dette gælder også, hvis der tastes '0' i det gule felt, og indikeres ved, at beregningen overstreges og gøres grå.</t>
    </r>
  </si>
  <si>
    <t>Der er angivet et eksempel og en forklaring til anvendelse af "successiv kalkulation" i de sidste 2 underarkfaner.</t>
  </si>
  <si>
    <t>Opstartsarbejder</t>
  </si>
  <si>
    <t>stk.</t>
  </si>
  <si>
    <t>Boldbaner</t>
  </si>
  <si>
    <t>Andre græsarealer</t>
  </si>
  <si>
    <t>Parkanlæg</t>
  </si>
  <si>
    <t>Befæstede arealer</t>
  </si>
  <si>
    <t>Afsluttende arbejder</t>
  </si>
  <si>
    <t>Generelle forhold</t>
  </si>
  <si>
    <t>sum</t>
  </si>
  <si>
    <t>I alt</t>
  </si>
  <si>
    <t>Tilsvarende spredning</t>
  </si>
  <si>
    <t>Eksempel på successiv kalkulation</t>
  </si>
  <si>
    <t>En delpost med en stor varians bidrager forholdsvis meget til slutsummens usikkerhed.</t>
  </si>
  <si>
    <t>De delposter, der har størst varians, analyseres og opdeles i delopgaver for at reducere variansen.</t>
  </si>
  <si>
    <t>Konfidensinterval</t>
  </si>
  <si>
    <t>med 70 % sandsynlighed vil estimatet være inden for</t>
  </si>
  <si>
    <t>og</t>
  </si>
  <si>
    <t>med 95 % sandsynlighed vil estimatet være inden for</t>
  </si>
  <si>
    <t>med 99 % sandsynlighed vil estimatet være inden for</t>
  </si>
  <si>
    <t xml:space="preserve">Resultatet er en forventet middelværdi på 8.537.400 kr. og en spredning herpå på 1.284.026 kr. (15 %). </t>
  </si>
  <si>
    <t>Dette er næppe en acceptabel usikkerhed. Af opdelingen og prioritetstallene ses, at det er positioner 2, 5 og 7, der bør specificeres yderligere.</t>
  </si>
  <si>
    <t>SUCCESSIV KALKULATION</t>
  </si>
  <si>
    <t xml:space="preserve">Tekst og eksempel herunder er et uddrag fra bogen »Anlægsteknik 2 – Styring af Byggeprocessen« udgivet af Anlægsteknikforeningen på Polyteknisk Forlag. En mere uddybende beskrivelse findes i Steen Lichtenbergs bog »Proactive Management of Uncertainty using the Succesive Principle«. </t>
  </si>
  <si>
    <t xml:space="preserve">Successiv Kalkulation, bygger på et tredobbelt skøn over omkostningerne for den enkelte post. De tre skøn skal dække usikkerheden på posten således at: </t>
  </si>
  <si>
    <t>a minimum = sættes til den absolut mindste værdi, der forekommer mulig</t>
  </si>
  <si>
    <t>b sandsynlig værdi = den mest sandsynlige værdi</t>
  </si>
  <si>
    <t>c maksimum = den absolut størst tænkelige værdi</t>
  </si>
  <si>
    <t xml:space="preserve">Forventningsværdien af posten beregnes som et vejet gennemsnit af a, b og c: middelværdi = (a + 3b + c) / 5 </t>
  </si>
  <si>
    <t>Usikkerheden i vurderingen kan udtrykkes ved spredningen eller prioritetstallet (variansen) spredning = (c - a) / 5</t>
  </si>
  <si>
    <r>
      <t>varians = spredning</t>
    </r>
    <r>
      <rPr>
        <i/>
        <sz val="11"/>
        <color theme="1"/>
        <rFont val="Calibri"/>
        <family val="2"/>
      </rPr>
      <t>²</t>
    </r>
    <r>
      <rPr>
        <i/>
        <sz val="11"/>
        <color theme="1"/>
        <rFont val="Aptos Narrow"/>
        <family val="2"/>
        <scheme val="minor"/>
      </rPr>
      <t xml:space="preserve"> = prioritetstallet </t>
    </r>
  </si>
  <si>
    <t xml:space="preserve">Slutsummen er summen af delposternes middelværdier. Spredningen på slutsummen beregnes som kvadratroden af summen af delposternes varianser. En delpost med en stor varians bidrager forholdsvis meget til slutsummens usikkerhed. De delposter, der har størst varians, analyseres. </t>
  </si>
  <si>
    <r>
      <rPr>
        <b/>
        <sz val="11"/>
        <color theme="1"/>
        <rFont val="Aptos Narrow"/>
        <family val="2"/>
        <scheme val="minor"/>
      </rPr>
      <t>OBS:</t>
    </r>
    <r>
      <rPr>
        <sz val="11"/>
        <color theme="1"/>
        <rFont val="Aptos Narrow"/>
        <family val="2"/>
        <scheme val="minor"/>
      </rPr>
      <t xml:space="preserve"> Det er en forudsætning for anvendelsen af metoden, at de enkelte poster i kalkulationen er statistisk uafhængige. Normalt findes der i hvert overslag en lang række usikkerhedsfaktorer, som påvirker flere poster. Disse, der under et betegnes »generelle forhold«, må isoleres i en eller flere særskilte korrektionsposter. De generelle forhold vurderes i relation til det erfaringsmateriale og de forudsætninger, som planlæggeren anvender i kalkulationen.</t>
    </r>
  </si>
  <si>
    <t xml:space="preserve"> Se beregningseksempel.</t>
  </si>
  <si>
    <t>I nogle af beregningsfanerne foreligger Molio-benchmarks som kan bruges til at estimere omkostningerne. I alle arkene er det desuden muligt at anvende "successiv kalkulation."</t>
  </si>
  <si>
    <t>0|0|0</t>
  </si>
  <si>
    <t>Ventilation inkl. bms styring</t>
  </si>
  <si>
    <t>Lejerleverancer</t>
  </si>
  <si>
    <t>(tom)</t>
  </si>
  <si>
    <t>(tom) Total</t>
  </si>
  <si>
    <t>Hovedtotal</t>
  </si>
  <si>
    <t>AV-udstyr, herunder projektorer, smartboards, mødeskærme, infoskærme, lydanlæg, lærreder og mørkelægning.</t>
  </si>
  <si>
    <t>AIA (Automatisk Indbruds Alarm)</t>
  </si>
  <si>
    <t>TVO (TV-overvågningsanlæg)</t>
  </si>
  <si>
    <t>BMS / CTS for særinstallationer eller lejerleverancer</t>
  </si>
  <si>
    <t>Talevarsling udover myndighedskrav</t>
  </si>
  <si>
    <t>Tyverisikring inkl. glas og konstruktioner</t>
  </si>
  <si>
    <t>IT-netværk ekskl. aktivtudstyr og Wi-Fi</t>
  </si>
  <si>
    <t>Aktivt IT-udstyr herunder krydsfelter og Wi-Fi</t>
  </si>
  <si>
    <t>Fiberforbindelse og internt fibertræk i bygning</t>
  </si>
  <si>
    <t>Særlige akustiske konstruktioner/overflader udover myndighedskrav</t>
  </si>
  <si>
    <t>Faste stole- og bordeopstillinger samt</t>
  </si>
  <si>
    <t>auditorieinventar og forelæsningspulte</t>
  </si>
  <si>
    <t>Særinstallationer</t>
  </si>
  <si>
    <t>4.</t>
  </si>
  <si>
    <t>4.2</t>
  </si>
  <si>
    <t>4.2.1</t>
  </si>
  <si>
    <t>4.2.2</t>
  </si>
  <si>
    <t>4.2.3</t>
  </si>
  <si>
    <t>4.2.4</t>
  </si>
  <si>
    <t>4.2.5</t>
  </si>
  <si>
    <t>4.2.6</t>
  </si>
  <si>
    <t>Særinstallationer — successiv kalkulation</t>
  </si>
  <si>
    <t>5.</t>
  </si>
  <si>
    <t>5.2</t>
  </si>
  <si>
    <t>5.3</t>
  </si>
  <si>
    <t>5.4</t>
  </si>
  <si>
    <t>5.5</t>
  </si>
  <si>
    <t>5.6</t>
  </si>
  <si>
    <t>5.7</t>
  </si>
  <si>
    <t>4.2.7</t>
  </si>
  <si>
    <t>4.2.8</t>
  </si>
  <si>
    <t>4.2.9</t>
  </si>
  <si>
    <t>Særinstallationer — i alt</t>
  </si>
  <si>
    <t>Særinstallationer  — Molio-benchmark</t>
  </si>
  <si>
    <t>1.10.4</t>
  </si>
  <si>
    <t>1.10.5</t>
  </si>
  <si>
    <t>1.10.6</t>
  </si>
  <si>
    <t>1.10.7</t>
  </si>
  <si>
    <t>1.10.8</t>
  </si>
  <si>
    <t>1.10.9</t>
  </si>
  <si>
    <t>1.10.10</t>
  </si>
  <si>
    <t>1.10.11</t>
  </si>
  <si>
    <t>ADK (Automatisk Dør Kontrol) herunder specialet låsesystem</t>
  </si>
  <si>
    <t>Særinstallationer i alt - successiv kalkulation</t>
  </si>
  <si>
    <t>Hvis du ønsker at tilføje eller ændre en linje til Samlearket skal du være opmærksom på følgende</t>
  </si>
  <si>
    <t>Forventet igangsættelse af byggeprojektet på pladsen (dd-mm-åå)</t>
  </si>
  <si>
    <t>Angiv det gældende byggeindeks - se Molios hjemmeside (link i kolonne G)</t>
  </si>
  <si>
    <t>Fase 0</t>
  </si>
  <si>
    <t>2.2.3</t>
  </si>
  <si>
    <t>Facadearbejder som ikke er indeholdt i den normale drift</t>
  </si>
  <si>
    <t>Molio Rød: (69)63.05,14</t>
  </si>
  <si>
    <t>Skøn</t>
  </si>
  <si>
    <t>Total byggeudgift med byggeindeks X. kvartal 202X (BYG43) rundet op til nærmeste 100.000 kr.</t>
  </si>
  <si>
    <t>Gældende byggeindeks X. kvartal 202X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</si>
</sst>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kr.&quot;#,##0_);\(&quot;kr.&quot;#,##0\)"/>
    <numFmt numFmtId="165" formatCode="#,##0\ &quot;kr.&quot;"/>
  </numFmts>
  <fonts count="23" x14ac:knownFonts="1">
    <font>
      <sz val="11"/>
      <color theme="1"/>
      <name val="Aptos Narrow"/>
      <family val="2"/>
      <scheme val="minor"/>
    </font>
    <font>
      <b/>
      <sz val="15"/>
      <color theme="3"/>
      <name val="Aptos Narrow"/>
      <family val="2"/>
      <scheme val="minor"/>
    </font>
    <font>
      <b/>
      <sz val="11"/>
      <color theme="1"/>
      <name val="Aptos Narrow"/>
      <family val="2"/>
      <scheme val="minor"/>
    </font>
    <font>
      <b/>
      <i/>
      <sz val="10"/>
      <color theme="1"/>
      <name val="Arial"/>
      <family val="2"/>
    </font>
    <font>
      <b/>
      <i/>
      <sz val="10"/>
      <color theme="0"/>
      <name val="Arial"/>
      <family val="2"/>
    </font>
    <font>
      <b/>
      <sz val="10"/>
      <color theme="0"/>
      <name val="Arial"/>
      <family val="2"/>
    </font>
    <font>
      <b/>
      <i/>
      <sz val="11"/>
      <color theme="0"/>
      <name val="Aptos Narrow"/>
      <family val="2"/>
      <scheme val="minor"/>
    </font>
    <font>
      <u/>
      <sz val="11"/>
      <color theme="10"/>
      <name val="Aptos Narrow"/>
      <family val="2"/>
      <scheme val="minor"/>
    </font>
    <font>
      <b/>
      <u/>
      <sz val="14"/>
      <color theme="10"/>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i/>
      <sz val="11"/>
      <color theme="1"/>
      <name val="Aptos Narrow"/>
      <family val="2"/>
      <scheme val="minor"/>
    </font>
    <font>
      <sz val="11"/>
      <name val="Aptos Narrow"/>
      <family val="2"/>
      <scheme val="minor"/>
    </font>
    <font>
      <b/>
      <u/>
      <sz val="11"/>
      <color theme="4" tint="0.59999389629810485"/>
      <name val="Aptos Narrow"/>
      <family val="2"/>
      <scheme val="minor"/>
    </font>
    <font>
      <b/>
      <sz val="10"/>
      <color theme="1"/>
      <name val="Arial"/>
      <family val="2"/>
    </font>
    <font>
      <sz val="10"/>
      <color theme="1"/>
      <name val="Arial"/>
      <family val="2"/>
    </font>
    <font>
      <b/>
      <sz val="10"/>
      <name val="Arial"/>
      <family val="2"/>
    </font>
    <font>
      <sz val="10"/>
      <name val="Arial"/>
      <family val="2"/>
    </font>
    <font>
      <i/>
      <sz val="11"/>
      <color theme="1"/>
      <name val="Calibri"/>
      <family val="2"/>
    </font>
    <font>
      <sz val="8"/>
      <name val="Aptos Narrow"/>
      <family val="2"/>
      <scheme val="minor"/>
    </font>
    <font>
      <sz val="9"/>
      <color indexed="81"/>
      <name val="Tahoma"/>
      <family val="2"/>
    </font>
    <font>
      <b/>
      <sz val="9"/>
      <color indexed="81"/>
      <name val="Tahoma"/>
      <family val="2"/>
    </font>
  </fonts>
  <fills count="12">
    <fill>
      <patternFill patternType="none"/>
    </fill>
    <fill>
      <patternFill patternType="gray125"/>
    </fill>
    <fill>
      <patternFill patternType="solid">
        <fgColor rgb="FFFFFF00"/>
        <bgColor indexed="64"/>
      </patternFill>
    </fill>
    <fill>
      <patternFill patternType="solid">
        <fgColor theme="8"/>
        <bgColor indexed="64"/>
      </patternFill>
    </fill>
    <fill>
      <patternFill patternType="solid">
        <fgColor rgb="FF8BAD3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bgColor indexed="64"/>
      </patternFill>
    </fill>
    <fill>
      <patternFill patternType="solid">
        <fgColor theme="4"/>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3" tint="0.59999389629810485"/>
        <bgColor indexed="64"/>
      </patternFill>
    </fill>
  </fills>
  <borders count="18">
    <border>
      <left/>
      <right/>
      <top/>
      <bottom/>
      <diagonal/>
    </border>
    <border>
      <left/>
      <right/>
      <top/>
      <bottom style="thick">
        <color theme="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theme="4"/>
      </top>
      <bottom/>
      <diagonal/>
    </border>
  </borders>
  <cellStyleXfs count="4">
    <xf numFmtId="0" fontId="0" fillId="0" borderId="0"/>
    <xf numFmtId="0" fontId="1" fillId="0" borderId="1" applyNumberFormat="0" applyFill="0" applyAlignment="0" applyProtection="0"/>
    <xf numFmtId="0" fontId="7" fillId="0" borderId="0" applyNumberFormat="0" applyFill="0" applyBorder="0" applyAlignment="0" applyProtection="0"/>
    <xf numFmtId="9" fontId="9" fillId="0" borderId="0" applyFont="0" applyFill="0" applyBorder="0" applyAlignment="0" applyProtection="0"/>
  </cellStyleXfs>
  <cellXfs count="122">
    <xf numFmtId="0" fontId="0" fillId="0" borderId="0" xfId="0"/>
    <xf numFmtId="165" fontId="0" fillId="0" borderId="0" xfId="0" applyNumberFormat="1"/>
    <xf numFmtId="0" fontId="0" fillId="0" borderId="0" xfId="0" applyAlignment="1">
      <alignment wrapText="1"/>
    </xf>
    <xf numFmtId="0" fontId="3" fillId="0" borderId="7" xfId="0" applyFont="1" applyBorder="1" applyAlignment="1">
      <alignment horizontal="center"/>
    </xf>
    <xf numFmtId="0" fontId="3" fillId="0" borderId="8" xfId="0" applyFont="1" applyBorder="1" applyAlignment="1">
      <alignment horizontal="center"/>
    </xf>
    <xf numFmtId="0" fontId="0" fillId="0" borderId="12" xfId="0" applyBorder="1"/>
    <xf numFmtId="0" fontId="0" fillId="0" borderId="13" xfId="0" applyBorder="1"/>
    <xf numFmtId="0" fontId="0" fillId="0" borderId="9" xfId="0" applyBorder="1"/>
    <xf numFmtId="0" fontId="0" fillId="0" borderId="11" xfId="0" applyBorder="1"/>
    <xf numFmtId="0" fontId="0" fillId="0" borderId="12" xfId="0" applyBorder="1" applyAlignment="1">
      <alignment wrapText="1"/>
    </xf>
    <xf numFmtId="0" fontId="0" fillId="0" borderId="13" xfId="0" applyBorder="1" applyAlignment="1">
      <alignment wrapText="1"/>
    </xf>
    <xf numFmtId="165" fontId="0" fillId="0" borderId="12" xfId="0" applyNumberFormat="1" applyBorder="1"/>
    <xf numFmtId="165" fontId="0" fillId="0" borderId="13" xfId="0" applyNumberFormat="1" applyBorder="1"/>
    <xf numFmtId="0" fontId="0" fillId="0" borderId="10" xfId="0" applyBorder="1"/>
    <xf numFmtId="0" fontId="0" fillId="0" borderId="7" xfId="0" applyBorder="1" applyAlignment="1">
      <alignment wrapText="1"/>
    </xf>
    <xf numFmtId="0" fontId="0" fillId="0" borderId="2" xfId="0" applyBorder="1" applyAlignment="1">
      <alignment wrapText="1"/>
    </xf>
    <xf numFmtId="0" fontId="0" fillId="0" borderId="8" xfId="0" applyBorder="1" applyAlignment="1">
      <alignment wrapText="1"/>
    </xf>
    <xf numFmtId="165" fontId="0" fillId="0" borderId="9" xfId="0" applyNumberFormat="1" applyBorder="1"/>
    <xf numFmtId="165" fontId="0" fillId="0" borderId="11" xfId="0" applyNumberFormat="1" applyBorder="1"/>
    <xf numFmtId="0" fontId="0" fillId="0" borderId="12" xfId="0" applyBorder="1" applyProtection="1">
      <protection locked="0"/>
    </xf>
    <xf numFmtId="0" fontId="0" fillId="0" borderId="13" xfId="0" applyBorder="1" applyProtection="1">
      <protection locked="0"/>
    </xf>
    <xf numFmtId="3" fontId="0" fillId="0" borderId="12" xfId="0" applyNumberFormat="1" applyBorder="1" applyProtection="1">
      <protection locked="0"/>
    </xf>
    <xf numFmtId="165" fontId="0" fillId="0" borderId="12" xfId="0" applyNumberFormat="1" applyBorder="1" applyProtection="1">
      <protection locked="0"/>
    </xf>
    <xf numFmtId="165" fontId="0" fillId="0" borderId="0" xfId="0" applyNumberFormat="1" applyProtection="1">
      <protection locked="0"/>
    </xf>
    <xf numFmtId="165" fontId="0" fillId="0" borderId="13" xfId="0" applyNumberFormat="1" applyBorder="1" applyProtection="1">
      <protection locked="0"/>
    </xf>
    <xf numFmtId="0" fontId="6" fillId="4" borderId="3" xfId="0" applyFont="1" applyFill="1" applyBorder="1" applyAlignment="1">
      <alignment horizontal="center"/>
    </xf>
    <xf numFmtId="0" fontId="3" fillId="0" borderId="15" xfId="0" applyFont="1" applyBorder="1" applyAlignment="1">
      <alignment horizontal="center"/>
    </xf>
    <xf numFmtId="0" fontId="0" fillId="0" borderId="14" xfId="0" applyBorder="1"/>
    <xf numFmtId="0" fontId="0" fillId="0" borderId="14" xfId="0" applyBorder="1" applyProtection="1">
      <protection locked="0"/>
    </xf>
    <xf numFmtId="0" fontId="0" fillId="0" borderId="16" xfId="0" applyBorder="1"/>
    <xf numFmtId="0" fontId="0" fillId="0" borderId="0" xfId="0" applyProtection="1">
      <protection locked="0"/>
    </xf>
    <xf numFmtId="0" fontId="1" fillId="0" borderId="1" xfId="1" applyAlignment="1"/>
    <xf numFmtId="165" fontId="2" fillId="5" borderId="3" xfId="0" applyNumberFormat="1" applyFont="1" applyFill="1" applyBorder="1"/>
    <xf numFmtId="0" fontId="2" fillId="0" borderId="0" xfId="0" applyFont="1"/>
    <xf numFmtId="0" fontId="7" fillId="0" borderId="0" xfId="2"/>
    <xf numFmtId="0" fontId="8" fillId="0" borderId="0" xfId="2" applyFont="1"/>
    <xf numFmtId="165" fontId="2" fillId="0" borderId="0" xfId="0" applyNumberFormat="1" applyFont="1"/>
    <xf numFmtId="0" fontId="1" fillId="0" borderId="1" xfId="1"/>
    <xf numFmtId="165" fontId="0" fillId="6" borderId="3" xfId="0" applyNumberFormat="1" applyFill="1" applyBorder="1" applyProtection="1">
      <protection locked="0"/>
    </xf>
    <xf numFmtId="0" fontId="2" fillId="0" borderId="0" xfId="0" applyFont="1" applyAlignment="1">
      <alignment horizontal="center"/>
    </xf>
    <xf numFmtId="9" fontId="0" fillId="0" borderId="0" xfId="0" applyNumberFormat="1"/>
    <xf numFmtId="9" fontId="0" fillId="6" borderId="3" xfId="0" applyNumberFormat="1" applyFill="1" applyBorder="1" applyProtection="1">
      <protection locked="0"/>
    </xf>
    <xf numFmtId="0" fontId="0" fillId="6" borderId="3" xfId="0" applyFill="1" applyBorder="1" applyProtection="1">
      <protection locked="0"/>
    </xf>
    <xf numFmtId="0" fontId="10" fillId="8" borderId="0" xfId="0" applyFont="1" applyFill="1"/>
    <xf numFmtId="0" fontId="10" fillId="8" borderId="0" xfId="0" applyFont="1" applyFill="1" applyAlignment="1">
      <alignment horizontal="center"/>
    </xf>
    <xf numFmtId="165" fontId="10" fillId="8" borderId="0" xfId="0" applyNumberFormat="1" applyFont="1" applyFill="1"/>
    <xf numFmtId="0" fontId="11" fillId="9" borderId="0" xfId="0" applyFont="1" applyFill="1"/>
    <xf numFmtId="0" fontId="10" fillId="9" borderId="0" xfId="0" applyFont="1" applyFill="1"/>
    <xf numFmtId="165" fontId="10" fillId="9" borderId="0" xfId="0" applyNumberFormat="1" applyFont="1" applyFill="1"/>
    <xf numFmtId="0" fontId="2" fillId="5" borderId="0" xfId="0" applyFont="1" applyFill="1"/>
    <xf numFmtId="165" fontId="2" fillId="5" borderId="0" xfId="0" applyNumberFormat="1" applyFont="1" applyFill="1"/>
    <xf numFmtId="0" fontId="11" fillId="7" borderId="0" xfId="0" applyFont="1" applyFill="1"/>
    <xf numFmtId="0" fontId="10" fillId="7" borderId="0" xfId="0" applyFont="1" applyFill="1"/>
    <xf numFmtId="165" fontId="10" fillId="7" borderId="0" xfId="0" applyNumberFormat="1" applyFont="1" applyFill="1"/>
    <xf numFmtId="0" fontId="0" fillId="6" borderId="16" xfId="0" applyFill="1" applyBorder="1" applyProtection="1">
      <protection locked="0"/>
    </xf>
    <xf numFmtId="4" fontId="0" fillId="6" borderId="3" xfId="0" applyNumberFormat="1" applyFill="1" applyBorder="1" applyProtection="1">
      <protection locked="0"/>
    </xf>
    <xf numFmtId="3" fontId="0" fillId="6" borderId="3" xfId="0" applyNumberFormat="1" applyFill="1" applyBorder="1" applyProtection="1">
      <protection locked="0"/>
    </xf>
    <xf numFmtId="3" fontId="0" fillId="0" borderId="0" xfId="0" applyNumberFormat="1"/>
    <xf numFmtId="0" fontId="2" fillId="0" borderId="17" xfId="0" applyFont="1" applyBorder="1"/>
    <xf numFmtId="14" fontId="0" fillId="0" borderId="0" xfId="0" applyNumberFormat="1"/>
    <xf numFmtId="9" fontId="0" fillId="0" borderId="0" xfId="3" applyFont="1"/>
    <xf numFmtId="0" fontId="0" fillId="0" borderId="0" xfId="0" pivotButton="1"/>
    <xf numFmtId="9" fontId="2" fillId="0" borderId="0" xfId="0" applyNumberFormat="1" applyFont="1"/>
    <xf numFmtId="14" fontId="0" fillId="6" borderId="3" xfId="0" applyNumberFormat="1" applyFill="1" applyBorder="1" applyProtection="1">
      <protection locked="0"/>
    </xf>
    <xf numFmtId="9" fontId="0" fillId="6" borderId="15" xfId="0" applyNumberFormat="1" applyFill="1" applyBorder="1" applyProtection="1">
      <protection locked="0"/>
    </xf>
    <xf numFmtId="0" fontId="0" fillId="0" borderId="0" xfId="3" applyNumberFormat="1" applyFont="1"/>
    <xf numFmtId="0" fontId="0" fillId="0" borderId="0" xfId="0" applyAlignment="1">
      <alignment horizontal="center"/>
    </xf>
    <xf numFmtId="9" fontId="0" fillId="0" borderId="0" xfId="0" applyNumberFormat="1" applyProtection="1">
      <protection locked="0"/>
    </xf>
    <xf numFmtId="0" fontId="0" fillId="10" borderId="0" xfId="0" applyFill="1"/>
    <xf numFmtId="0" fontId="0" fillId="10" borderId="0" xfId="0" applyFill="1" applyAlignment="1">
      <alignment vertical="center" wrapText="1"/>
    </xf>
    <xf numFmtId="4" fontId="13" fillId="6" borderId="3" xfId="0" applyNumberFormat="1" applyFont="1" applyFill="1" applyBorder="1"/>
    <xf numFmtId="165" fontId="14" fillId="7" borderId="0" xfId="2" applyNumberFormat="1" applyFont="1" applyFill="1"/>
    <xf numFmtId="0" fontId="1" fillId="11" borderId="7" xfId="1" applyFill="1" applyBorder="1" applyAlignment="1" applyProtection="1">
      <alignment vertical="center"/>
    </xf>
    <xf numFmtId="0" fontId="0" fillId="11" borderId="2" xfId="0" applyFill="1" applyBorder="1"/>
    <xf numFmtId="0" fontId="0" fillId="10" borderId="12" xfId="0" applyFill="1" applyBorder="1"/>
    <xf numFmtId="0" fontId="7" fillId="10" borderId="12" xfId="2" quotePrefix="1" applyFill="1" applyBorder="1"/>
    <xf numFmtId="0" fontId="7" fillId="10" borderId="9" xfId="2" quotePrefix="1" applyFill="1" applyBorder="1"/>
    <xf numFmtId="0" fontId="0" fillId="10" borderId="10" xfId="0" applyFill="1" applyBorder="1"/>
    <xf numFmtId="9" fontId="2" fillId="0" borderId="0" xfId="3" applyFont="1"/>
    <xf numFmtId="0" fontId="15" fillId="0" borderId="0" xfId="0" applyFont="1"/>
    <xf numFmtId="0" fontId="16" fillId="0" borderId="0" xfId="0" applyFont="1"/>
    <xf numFmtId="0" fontId="17" fillId="0" borderId="0" xfId="0" applyFont="1" applyAlignment="1">
      <alignment vertical="center"/>
    </xf>
    <xf numFmtId="0" fontId="18" fillId="0" borderId="4" xfId="0" applyFont="1" applyBorder="1" applyAlignment="1">
      <alignment vertical="center"/>
    </xf>
    <xf numFmtId="0" fontId="16" fillId="0" borderId="5" xfId="0" applyFont="1" applyBorder="1"/>
    <xf numFmtId="0" fontId="16" fillId="0" borderId="6" xfId="0" applyFont="1" applyBorder="1"/>
    <xf numFmtId="165" fontId="16" fillId="0" borderId="3" xfId="0" applyNumberFormat="1" applyFont="1" applyBorder="1"/>
    <xf numFmtId="0" fontId="16" fillId="0" borderId="3" xfId="0" applyFont="1" applyBorder="1" applyAlignment="1">
      <alignment horizontal="center"/>
    </xf>
    <xf numFmtId="0" fontId="2" fillId="0" borderId="0" xfId="0" applyFont="1" applyAlignment="1">
      <alignment wrapText="1"/>
    </xf>
    <xf numFmtId="0" fontId="12" fillId="0" borderId="0" xfId="0" applyFont="1" applyAlignment="1">
      <alignment wrapText="1"/>
    </xf>
    <xf numFmtId="164" fontId="0" fillId="0" borderId="0" xfId="0" applyNumberFormat="1"/>
    <xf numFmtId="0" fontId="0" fillId="0" borderId="13" xfId="0" applyBorder="1" applyAlignment="1" applyProtection="1">
      <alignment vertical="center" wrapText="1"/>
      <protection locked="0"/>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3" fontId="0" fillId="0" borderId="12" xfId="0" applyNumberFormat="1" applyBorder="1" applyAlignment="1" applyProtection="1">
      <alignment vertical="center"/>
      <protection locked="0"/>
    </xf>
    <xf numFmtId="165" fontId="0" fillId="0" borderId="12" xfId="0" applyNumberFormat="1" applyBorder="1" applyAlignment="1" applyProtection="1">
      <alignment vertical="center"/>
      <protection locked="0"/>
    </xf>
    <xf numFmtId="165" fontId="0" fillId="0" borderId="0" xfId="0" applyNumberFormat="1" applyAlignment="1" applyProtection="1">
      <alignment vertical="center"/>
      <protection locked="0"/>
    </xf>
    <xf numFmtId="165" fontId="0" fillId="0" borderId="13" xfId="0" applyNumberFormat="1" applyBorder="1" applyAlignment="1" applyProtection="1">
      <alignment vertical="center"/>
      <protection locked="0"/>
    </xf>
    <xf numFmtId="165" fontId="0" fillId="0" borderId="12" xfId="0" applyNumberFormat="1" applyBorder="1" applyAlignment="1">
      <alignment vertical="center"/>
    </xf>
    <xf numFmtId="165" fontId="0" fillId="0" borderId="0" xfId="0" applyNumberFormat="1" applyAlignment="1">
      <alignment vertical="center"/>
    </xf>
    <xf numFmtId="165" fontId="0" fillId="0" borderId="13" xfId="0" applyNumberFormat="1" applyBorder="1" applyAlignment="1">
      <alignment vertical="center"/>
    </xf>
    <xf numFmtId="0" fontId="0" fillId="10" borderId="0" xfId="0" applyFill="1" applyAlignment="1">
      <alignment horizontal="left" vertical="center" wrapText="1"/>
    </xf>
    <xf numFmtId="165" fontId="0" fillId="6" borderId="0" xfId="0" applyNumberFormat="1" applyFill="1" applyProtection="1">
      <protection locked="0"/>
    </xf>
    <xf numFmtId="0" fontId="0" fillId="0" borderId="0" xfId="0" applyAlignment="1">
      <alignment vertical="top"/>
    </xf>
    <xf numFmtId="0" fontId="0" fillId="10" borderId="0" xfId="0" applyFill="1" applyAlignment="1">
      <alignment horizontal="left" vertical="center" wrapText="1"/>
    </xf>
    <xf numFmtId="0" fontId="0" fillId="10" borderId="0" xfId="0" applyFill="1" applyAlignment="1">
      <alignment horizontal="left" vertical="top" wrapText="1"/>
    </xf>
    <xf numFmtId="0" fontId="0" fillId="6" borderId="4" xfId="0" applyFill="1" applyBorder="1" applyProtection="1">
      <protection locked="0"/>
    </xf>
    <xf numFmtId="0" fontId="0" fillId="6" borderId="6" xfId="0" applyFill="1" applyBorder="1" applyProtection="1">
      <protection locked="0"/>
    </xf>
    <xf numFmtId="9" fontId="0" fillId="6" borderId="4" xfId="0" applyNumberFormat="1" applyFill="1" applyBorder="1" applyProtection="1">
      <protection locked="0"/>
    </xf>
    <xf numFmtId="9" fontId="0" fillId="6" borderId="6" xfId="0" applyNumberFormat="1" applyFill="1" applyBorder="1" applyProtection="1">
      <protection locked="0"/>
    </xf>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3" borderId="6"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4" fillId="4" borderId="4" xfId="0" applyFont="1" applyFill="1" applyBorder="1" applyAlignment="1">
      <alignment horizontal="center"/>
    </xf>
    <xf numFmtId="0" fontId="4" fillId="4" borderId="5" xfId="0" applyFont="1" applyFill="1" applyBorder="1" applyAlignment="1">
      <alignment horizontal="center"/>
    </xf>
    <xf numFmtId="0" fontId="3" fillId="2" borderId="7" xfId="0" applyFont="1" applyFill="1" applyBorder="1" applyAlignment="1">
      <alignment horizontal="center"/>
    </xf>
    <xf numFmtId="0" fontId="3" fillId="2" borderId="2" xfId="0" applyFont="1" applyFill="1" applyBorder="1" applyAlignment="1">
      <alignment horizontal="center"/>
    </xf>
    <xf numFmtId="0" fontId="3" fillId="2" borderId="8"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cellXfs>
  <cellStyles count="4">
    <cellStyle name="Link" xfId="2" builtinId="8"/>
    <cellStyle name="Normal" xfId="0" builtinId="0"/>
    <cellStyle name="Overskrift 1" xfId="1" builtinId="16"/>
    <cellStyle name="Procent" xfId="3" builtinId="5"/>
  </cellStyles>
  <dxfs count="385">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numFmt numFmtId="165" formatCode="#,##0\ &quot;kr.&quot;"/>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dxf>
    <dxf>
      <border diagonalUp="0" diagonalDown="0" outline="0">
        <left/>
        <right/>
        <top/>
        <bottom style="thin">
          <color indexed="64"/>
        </bottom>
      </border>
    </dxf>
    <dxf>
      <numFmt numFmtId="165" formatCode="#,##0\ &quot;kr.&quot;"/>
    </dxf>
    <dxf>
      <numFmt numFmtId="165" formatCode="#,##0\ &quot;kr.&quot;"/>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dxf>
    <dxf>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protection locked="0" hidden="0"/>
    </dxf>
    <dxf>
      <border diagonalUp="0" diagonalDown="0" outline="0">
        <left/>
        <right/>
        <top/>
        <bottom style="thin">
          <color indexed="64"/>
        </bottom>
      </border>
    </dxf>
    <dxf>
      <numFmt numFmtId="165" formatCode="#,##0\ &quot;kr.&quot;"/>
      <protection locked="0" hidden="0"/>
    </dxf>
    <dxf>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numFmt numFmtId="3" formatCode="#,##0"/>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border diagonalUp="0" diagonalDown="0">
        <left style="thin">
          <color indexed="64"/>
        </left>
        <right/>
        <top/>
        <bottom/>
        <vertical/>
        <horizontal/>
      </border>
      <protection locked="0" hidden="0"/>
    </dxf>
    <dxf>
      <numFmt numFmtId="0" formatCode="General"/>
    </dxf>
    <dxf>
      <numFmt numFmtId="166" formatCode="m/d/yyyy"/>
    </dxf>
    <dxf>
      <numFmt numFmtId="166" formatCode="m/d/yyyy"/>
    </dxf>
    <dxf>
      <numFmt numFmtId="0" formatCode="General"/>
    </dxf>
    <dxf>
      <numFmt numFmtId="166" formatCode="m/d/yyyy"/>
    </dxf>
    <dxf>
      <numFmt numFmtId="0" formatCode="General"/>
    </dxf>
    <dxf>
      <numFmt numFmtId="0" formatCode="General"/>
    </dxf>
    <dxf>
      <numFmt numFmtId="0" formatCode="General"/>
    </dxf>
    <dxf>
      <numFmt numFmtId="0" formatCode="General"/>
    </dxf>
    <dxf>
      <numFmt numFmtId="165" formatCode="#,##0\ &quot;kr.&quot;"/>
    </dxf>
    <dxf>
      <numFmt numFmtId="165" formatCode="#,##0\ &quot;kr.&quot;"/>
    </dxf>
    <dxf>
      <numFmt numFmtId="0" formatCode="General"/>
    </dxf>
    <dxf>
      <numFmt numFmtId="0" formatCode="General"/>
    </dxf>
    <dxf>
      <numFmt numFmtId="0" formatCode="General"/>
    </dxf>
    <dxf>
      <numFmt numFmtId="0" formatCode="General"/>
    </dxf>
    <dxf>
      <numFmt numFmtId="165" formatCode="#,##0\ &quot;kr.&quot;"/>
      <border diagonalUp="0" diagonalDown="0" outline="0">
        <left/>
        <right style="thin">
          <color indexed="64"/>
        </right>
        <top/>
        <bottom style="thin">
          <color indexed="64"/>
        </bottom>
      </border>
    </dxf>
    <dxf>
      <numFmt numFmtId="165" formatCode="#,##0\ &quot;kr.&quot;"/>
      <alignment horizontal="general" vertical="center" textRotation="0" indent="0" justifyLastLine="0" shrinkToFit="0" readingOrder="0"/>
      <border diagonalUp="0" diagonalDown="0" outline="0">
        <left/>
        <right style="thin">
          <color indexed="64"/>
        </right>
        <top/>
        <bottom/>
      </border>
    </dxf>
    <dxf>
      <border diagonalUp="0" diagonalDown="0" outline="0">
        <left/>
        <right/>
        <top/>
        <bottom style="thin">
          <color indexed="64"/>
        </bottom>
      </border>
    </dxf>
    <dxf>
      <numFmt numFmtId="165" formatCode="#,##0\ &quot;kr.&quot;"/>
      <alignment horizontal="general" vertical="center" textRotation="0" indent="0" justifyLastLine="0" shrinkToFit="0" readingOrder="0"/>
    </dxf>
    <dxf>
      <numFmt numFmtId="165" formatCode="#,##0\ &quot;kr.&quot;"/>
      <border diagonalUp="0" diagonalDown="0" outline="0">
        <left style="thin">
          <color indexed="64"/>
        </left>
        <right/>
        <top/>
        <bottom style="thin">
          <color indexed="64"/>
        </bottom>
      </border>
    </dxf>
    <dxf>
      <numFmt numFmtId="165" formatCode="#,##0\ &quot;kr.&quot;"/>
      <alignment horizontal="general" vertical="center" textRotation="0" indent="0" justifyLastLine="0" shrinkToFit="0" readingOrder="0"/>
      <border diagonalUp="0" diagonalDown="0" outline="0">
        <left style="thin">
          <color indexed="64"/>
        </left>
        <right/>
        <top/>
        <bottom/>
      </border>
    </dxf>
    <dxf>
      <border diagonalUp="0" diagonalDown="0" outline="0">
        <left/>
        <right style="thin">
          <color indexed="64"/>
        </right>
        <top/>
        <bottom style="thin">
          <color indexed="64"/>
        </bottom>
      </border>
    </dxf>
    <dxf>
      <numFmt numFmtId="165" formatCode="#,##0\ &quot;kr.&quot;"/>
      <alignment horizontal="general" vertical="center" textRotation="0" indent="0" justifyLastLine="0" shrinkToFit="0" readingOrder="0"/>
      <border diagonalUp="0" diagonalDown="0" outline="0">
        <left/>
        <right style="thin">
          <color indexed="64"/>
        </right>
        <top/>
        <bottom/>
      </border>
      <protection locked="0" hidden="0"/>
    </dxf>
    <dxf>
      <border diagonalUp="0" diagonalDown="0" outline="0">
        <left/>
        <right/>
        <top/>
        <bottom style="thin">
          <color indexed="64"/>
        </bottom>
      </border>
    </dxf>
    <dxf>
      <numFmt numFmtId="165" formatCode="#,##0\ &quot;kr.&quot;"/>
      <alignment horizontal="general" vertical="center" textRotation="0" indent="0" justifyLastLine="0" shrinkToFit="0" readingOrder="0"/>
      <protection locked="0" hidden="0"/>
    </dxf>
    <dxf>
      <border diagonalUp="0" diagonalDown="0" outline="0">
        <left style="thin">
          <color indexed="64"/>
        </left>
        <right/>
        <top/>
        <bottom style="thin">
          <color indexed="64"/>
        </bottom>
      </border>
    </dxf>
    <dxf>
      <numFmt numFmtId="165" formatCode="#,##0\ &quot;kr.&quot;"/>
      <alignment horizontal="general" vertical="center" textRotation="0" indent="0" justifyLastLine="0" shrinkToFit="0" readingOrder="0"/>
      <border diagonalUp="0" diagonalDown="0" outline="0">
        <left style="thin">
          <color indexed="64"/>
        </left>
        <right/>
        <top/>
        <bottom/>
      </border>
      <protection locked="0" hidden="0"/>
    </dxf>
    <dxf>
      <border diagonalUp="0" diagonalDown="0" outline="0">
        <left/>
        <right style="thin">
          <color indexed="64"/>
        </right>
        <top/>
        <bottom style="thin">
          <color indexed="64"/>
        </bottom>
      </border>
    </dxf>
    <dxf>
      <alignment horizontal="general" vertical="center" textRotation="0" indent="0" justifyLastLine="0" shrinkToFit="0" readingOrder="0"/>
      <border diagonalUp="0" diagonalDown="0" outline="0">
        <left/>
        <right style="thin">
          <color indexed="64"/>
        </right>
        <top/>
        <bottom/>
      </border>
      <protection locked="0" hidden="0"/>
    </dxf>
    <dxf>
      <border diagonalUp="0" diagonalDown="0" outline="0">
        <left style="thin">
          <color indexed="64"/>
        </left>
        <right/>
        <top/>
        <bottom style="thin">
          <color indexed="64"/>
        </bottom>
      </border>
    </dxf>
    <dxf>
      <numFmt numFmtId="3" formatCode="#,##0"/>
      <alignment horizontal="general" vertical="center" textRotation="0" indent="0" justifyLastLine="0" shrinkToFit="0" readingOrder="0"/>
      <border diagonalUp="0" diagonalDown="0" outline="0">
        <left style="thin">
          <color indexed="64"/>
        </left>
        <right/>
        <top/>
        <bottom/>
      </border>
      <protection locked="0" hidden="0"/>
    </dxf>
    <dxf>
      <border diagonalUp="0" diagonalDown="0" outline="0">
        <left/>
        <right style="thin">
          <color indexed="64"/>
        </right>
        <top/>
        <bottom style="thin">
          <color indexed="64"/>
        </bottom>
      </border>
    </dxf>
    <dxf>
      <alignment horizontal="general" vertical="center" textRotation="0" indent="0" justifyLastLine="0" shrinkToFit="0" readingOrder="0"/>
      <border diagonalUp="0" diagonalDown="0" outline="0">
        <left/>
        <right style="thin">
          <color indexed="64"/>
        </right>
        <top/>
        <bottom/>
      </border>
      <protection locked="0" hidden="0"/>
    </dxf>
    <dxf>
      <border diagonalUp="0" diagonalDown="0" outline="0">
        <left style="thin">
          <color indexed="64"/>
        </left>
        <right/>
        <top/>
        <bottom style="thin">
          <color indexed="64"/>
        </bottom>
      </border>
    </dxf>
    <dxf>
      <alignment horizontal="general" vertical="center" textRotation="0" indent="0" justifyLastLine="0" shrinkToFit="0" readingOrder="0"/>
      <border diagonalUp="0" diagonalDown="0" outline="0">
        <left style="thin">
          <color indexed="64"/>
        </left>
        <right/>
        <top/>
        <bottom/>
      </border>
      <protection locked="0" hidden="0"/>
    </dxf>
    <dxf>
      <alignment horizontal="general" vertical="center" textRotation="0" indent="0" justifyLastLine="0" shrinkToFit="0" readingOrder="0"/>
    </dxf>
    <dxf>
      <numFmt numFmtId="165" formatCode="#,##0\ &quot;kr.&quot;"/>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dxf>
    <dxf>
      <border diagonalUp="0" diagonalDown="0" outline="0">
        <left/>
        <right/>
        <top/>
        <bottom style="thin">
          <color indexed="64"/>
        </bottom>
      </border>
    </dxf>
    <dxf>
      <numFmt numFmtId="165" formatCode="#,##0\ &quot;kr.&quot;"/>
    </dxf>
    <dxf>
      <numFmt numFmtId="165" formatCode="#,##0\ &quot;kr.&quot;"/>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dxf>
    <dxf>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protection locked="0" hidden="0"/>
    </dxf>
    <dxf>
      <border diagonalUp="0" diagonalDown="0" outline="0">
        <left/>
        <right/>
        <top/>
        <bottom style="thin">
          <color indexed="64"/>
        </bottom>
      </border>
    </dxf>
    <dxf>
      <numFmt numFmtId="165" formatCode="#,##0\ &quot;kr.&quot;"/>
      <protection locked="0" hidden="0"/>
    </dxf>
    <dxf>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numFmt numFmtId="3" formatCode="#,##0"/>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border diagonalUp="0" diagonalDown="0">
        <left style="thin">
          <color indexed="64"/>
        </left>
        <right/>
        <top/>
        <bottom/>
        <vertical/>
        <horizontal/>
      </border>
      <protection locked="0" hidden="0"/>
    </dxf>
    <dxf>
      <numFmt numFmtId="165" formatCode="#,##0\ &quot;kr.&quot;"/>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dxf>
    <dxf>
      <border diagonalUp="0" diagonalDown="0" outline="0">
        <left/>
        <right/>
        <top/>
        <bottom style="thin">
          <color indexed="64"/>
        </bottom>
      </border>
    </dxf>
    <dxf>
      <numFmt numFmtId="165" formatCode="#,##0\ &quot;kr.&quot;"/>
    </dxf>
    <dxf>
      <numFmt numFmtId="165" formatCode="#,##0\ &quot;kr.&quot;"/>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dxf>
    <dxf>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protection locked="0" hidden="0"/>
    </dxf>
    <dxf>
      <border diagonalUp="0" diagonalDown="0" outline="0">
        <left/>
        <right/>
        <top/>
        <bottom style="thin">
          <color indexed="64"/>
        </bottom>
      </border>
    </dxf>
    <dxf>
      <numFmt numFmtId="165" formatCode="#,##0\ &quot;kr.&quot;"/>
      <protection locked="0" hidden="0"/>
    </dxf>
    <dxf>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numFmt numFmtId="3" formatCode="#,##0"/>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border diagonalUp="0" diagonalDown="0">
        <left style="thin">
          <color indexed="64"/>
        </left>
        <right/>
        <top/>
        <bottom/>
        <vertical/>
        <horizontal/>
      </border>
      <protection locked="0" hidden="0"/>
    </dxf>
    <dxf>
      <numFmt numFmtId="165" formatCode="#,##0\ &quot;kr.&quot;"/>
    </dxf>
    <dxf>
      <numFmt numFmtId="165" formatCode="#,##0\ &quot;kr.&quot;"/>
    </dxf>
    <dxf>
      <numFmt numFmtId="165" formatCode="#,##0\ &quot;kr.&quot;"/>
    </dxf>
    <dxf>
      <protection locked="0" hidden="0"/>
    </dxf>
    <dxf>
      <numFmt numFmtId="165" formatCode="#,##0\ &quot;kr.&quot;"/>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dxf>
    <dxf>
      <border diagonalUp="0" diagonalDown="0" outline="0">
        <left/>
        <right/>
        <top/>
        <bottom style="thin">
          <color indexed="64"/>
        </bottom>
      </border>
    </dxf>
    <dxf>
      <numFmt numFmtId="165" formatCode="#,##0\ &quot;kr.&quot;"/>
    </dxf>
    <dxf>
      <numFmt numFmtId="165" formatCode="#,##0\ &quot;kr.&quot;"/>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dxf>
    <dxf>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protection locked="0" hidden="0"/>
    </dxf>
    <dxf>
      <border diagonalUp="0" diagonalDown="0" outline="0">
        <left/>
        <right/>
        <top/>
        <bottom style="thin">
          <color indexed="64"/>
        </bottom>
      </border>
    </dxf>
    <dxf>
      <numFmt numFmtId="165" formatCode="#,##0\ &quot;kr.&quot;"/>
      <protection locked="0" hidden="0"/>
    </dxf>
    <dxf>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protection locked="0" hidden="0"/>
    </dxf>
    <dxf>
      <border diagonalUp="0" diagonalDown="0" outline="0">
        <left style="thin">
          <color indexed="64"/>
        </left>
        <right style="thin">
          <color indexed="64"/>
        </right>
        <top/>
        <bottom style="thin">
          <color indexed="64"/>
        </bottom>
      </border>
    </dxf>
    <dxf>
      <border diagonalUp="0" diagonalDown="0">
        <left style="thin">
          <color indexed="64"/>
        </left>
        <right style="thin">
          <color indexed="64"/>
        </right>
        <top/>
        <bottom/>
        <vertical/>
        <horizontal/>
      </border>
      <protection locked="0" hidden="0"/>
    </dxf>
    <dxf>
      <border diagonalUp="0" diagonalDown="0" outline="0">
        <left style="thin">
          <color indexed="64"/>
        </left>
        <right/>
        <top/>
        <bottom style="thin">
          <color indexed="64"/>
        </bottom>
      </border>
    </dxf>
    <dxf>
      <numFmt numFmtId="3" formatCode="#,##0"/>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border diagonalUp="0" diagonalDown="0">
        <left style="thin">
          <color indexed="64"/>
        </left>
        <right/>
        <top/>
        <bottom/>
        <vertical/>
        <horizontal/>
      </border>
      <protection locked="0" hidden="0"/>
    </dxf>
    <dxf>
      <numFmt numFmtId="165" formatCode="#,##0\ &quot;kr.&quot;"/>
    </dxf>
    <dxf>
      <numFmt numFmtId="165" formatCode="#,##0\ &quot;kr.&quot;"/>
    </dxf>
    <dxf>
      <numFmt numFmtId="165" formatCode="#,##0\ &quot;kr.&quot;"/>
    </dxf>
    <dxf>
      <protection locked="0" hidden="0"/>
    </dxf>
    <dxf>
      <numFmt numFmtId="165" formatCode="#,##0\ &quot;kr.&quot;"/>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dxf>
    <dxf>
      <border diagonalUp="0" diagonalDown="0" outline="0">
        <left/>
        <right/>
        <top/>
        <bottom style="thin">
          <color indexed="64"/>
        </bottom>
      </border>
    </dxf>
    <dxf>
      <numFmt numFmtId="165" formatCode="#,##0\ &quot;kr.&quot;"/>
    </dxf>
    <dxf>
      <numFmt numFmtId="165" formatCode="#,##0\ &quot;kr.&quot;"/>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dxf>
    <dxf>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protection locked="0" hidden="0"/>
    </dxf>
    <dxf>
      <border diagonalUp="0" diagonalDown="0" outline="0">
        <left/>
        <right/>
        <top/>
        <bottom style="thin">
          <color indexed="64"/>
        </bottom>
      </border>
    </dxf>
    <dxf>
      <numFmt numFmtId="165" formatCode="#,##0\ &quot;kr.&quot;"/>
      <protection locked="0" hidden="0"/>
    </dxf>
    <dxf>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protection locked="0" hidden="0"/>
    </dxf>
    <dxf>
      <border diagonalUp="0" diagonalDown="0" outline="0">
        <left style="thin">
          <color indexed="64"/>
        </left>
        <right style="thin">
          <color indexed="64"/>
        </right>
        <top/>
        <bottom style="thin">
          <color indexed="64"/>
        </bottom>
      </border>
    </dxf>
    <dxf>
      <border diagonalUp="0" diagonalDown="0">
        <left style="thin">
          <color indexed="64"/>
        </left>
        <right style="thin">
          <color indexed="64"/>
        </right>
        <top/>
        <bottom/>
        <vertical/>
        <horizontal/>
      </border>
      <protection locked="0" hidden="0"/>
    </dxf>
    <dxf>
      <border diagonalUp="0" diagonalDown="0" outline="0">
        <left style="thin">
          <color indexed="64"/>
        </left>
        <right/>
        <top/>
        <bottom style="thin">
          <color indexed="64"/>
        </bottom>
      </border>
    </dxf>
    <dxf>
      <numFmt numFmtId="3" formatCode="#,##0"/>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border diagonalUp="0" diagonalDown="0">
        <left style="thin">
          <color indexed="64"/>
        </left>
        <right/>
        <top/>
        <bottom/>
        <vertical/>
        <horizontal/>
      </border>
      <protection locked="0" hidden="0"/>
    </dxf>
    <dxf>
      <numFmt numFmtId="165" formatCode="#,##0\ &quot;kr.&quot;"/>
    </dxf>
    <dxf>
      <numFmt numFmtId="165" formatCode="#,##0\ &quot;kr.&quot;"/>
    </dxf>
    <dxf>
      <numFmt numFmtId="165" formatCode="#,##0\ &quot;kr.&quot;"/>
    </dxf>
    <dxf>
      <protection locked="0" hidden="0"/>
    </dxf>
    <dxf>
      <numFmt numFmtId="165" formatCode="#,##0\ &quot;kr.&quot;"/>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dxf>
    <dxf>
      <border diagonalUp="0" diagonalDown="0" outline="0">
        <left/>
        <right/>
        <top/>
        <bottom style="thin">
          <color indexed="64"/>
        </bottom>
      </border>
    </dxf>
    <dxf>
      <numFmt numFmtId="165" formatCode="#,##0\ &quot;kr.&quot;"/>
    </dxf>
    <dxf>
      <numFmt numFmtId="165" formatCode="#,##0\ &quot;kr.&quot;"/>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dxf>
    <dxf>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protection locked="0" hidden="0"/>
    </dxf>
    <dxf>
      <border diagonalUp="0" diagonalDown="0" outline="0">
        <left/>
        <right/>
        <top/>
        <bottom style="thin">
          <color indexed="64"/>
        </bottom>
      </border>
    </dxf>
    <dxf>
      <numFmt numFmtId="165" formatCode="#,##0\ &quot;kr.&quot;"/>
      <protection locked="0" hidden="0"/>
    </dxf>
    <dxf>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protection locked="0" hidden="0"/>
    </dxf>
    <dxf>
      <border diagonalUp="0" diagonalDown="0" outline="0">
        <left style="thin">
          <color indexed="64"/>
        </left>
        <right style="thin">
          <color indexed="64"/>
        </right>
        <top/>
        <bottom style="thin">
          <color indexed="64"/>
        </bottom>
      </border>
    </dxf>
    <dxf>
      <border diagonalUp="0" diagonalDown="0">
        <left style="thin">
          <color indexed="64"/>
        </left>
        <right style="thin">
          <color indexed="64"/>
        </right>
        <top/>
        <bottom/>
        <vertical/>
        <horizontal/>
      </border>
      <protection locked="0" hidden="0"/>
    </dxf>
    <dxf>
      <border diagonalUp="0" diagonalDown="0" outline="0">
        <left style="thin">
          <color indexed="64"/>
        </left>
        <right/>
        <top/>
        <bottom style="thin">
          <color indexed="64"/>
        </bottom>
      </border>
    </dxf>
    <dxf>
      <numFmt numFmtId="3" formatCode="#,##0"/>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border diagonalUp="0" diagonalDown="0">
        <left style="thin">
          <color indexed="64"/>
        </left>
        <right/>
        <top/>
        <bottom/>
        <vertical/>
        <horizontal/>
      </border>
      <protection locked="0" hidden="0"/>
    </dxf>
    <dxf>
      <numFmt numFmtId="165" formatCode="#,##0\ &quot;kr.&quot;"/>
    </dxf>
    <dxf>
      <numFmt numFmtId="165" formatCode="#,##0\ &quot;kr.&quot;"/>
    </dxf>
    <dxf>
      <numFmt numFmtId="165" formatCode="#,##0\ &quot;kr.&quot;"/>
    </dxf>
    <dxf>
      <protection locked="0" hidden="0"/>
    </dxf>
    <dxf>
      <numFmt numFmtId="165" formatCode="#,##0\ &quot;kr.&quot;"/>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dxf>
    <dxf>
      <border diagonalUp="0" diagonalDown="0" outline="0">
        <left/>
        <right/>
        <top/>
        <bottom style="thin">
          <color indexed="64"/>
        </bottom>
      </border>
    </dxf>
    <dxf>
      <numFmt numFmtId="165" formatCode="#,##0\ &quot;kr.&quot;"/>
    </dxf>
    <dxf>
      <numFmt numFmtId="165" formatCode="#,##0\ &quot;kr.&quot;"/>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dxf>
    <dxf>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protection locked="0" hidden="0"/>
    </dxf>
    <dxf>
      <border diagonalUp="0" diagonalDown="0" outline="0">
        <left/>
        <right/>
        <top/>
        <bottom style="thin">
          <color indexed="64"/>
        </bottom>
      </border>
    </dxf>
    <dxf>
      <numFmt numFmtId="165" formatCode="#,##0\ &quot;kr.&quot;"/>
      <protection locked="0" hidden="0"/>
    </dxf>
    <dxf>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protection locked="0" hidden="0"/>
    </dxf>
    <dxf>
      <border diagonalUp="0" diagonalDown="0" outline="0">
        <left style="thin">
          <color indexed="64"/>
        </left>
        <right style="thin">
          <color indexed="64"/>
        </right>
        <top/>
        <bottom style="thin">
          <color indexed="64"/>
        </bottom>
      </border>
    </dxf>
    <dxf>
      <border diagonalUp="0" diagonalDown="0">
        <left style="thin">
          <color indexed="64"/>
        </left>
        <right style="thin">
          <color indexed="64"/>
        </right>
        <top/>
        <bottom/>
        <vertical/>
        <horizontal/>
      </border>
      <protection locked="0" hidden="0"/>
    </dxf>
    <dxf>
      <border diagonalUp="0" diagonalDown="0" outline="0">
        <left style="thin">
          <color indexed="64"/>
        </left>
        <right/>
        <top/>
        <bottom style="thin">
          <color indexed="64"/>
        </bottom>
      </border>
    </dxf>
    <dxf>
      <numFmt numFmtId="3" formatCode="#,##0"/>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border diagonalUp="0" diagonalDown="0">
        <left style="thin">
          <color indexed="64"/>
        </left>
        <right/>
        <top/>
        <bottom/>
        <vertical/>
        <horizontal/>
      </border>
      <protection locked="0" hidden="0"/>
    </dxf>
    <dxf>
      <numFmt numFmtId="165" formatCode="#,##0\ &quot;kr.&quot;"/>
    </dxf>
    <dxf>
      <numFmt numFmtId="165" formatCode="#,##0\ &quot;kr.&quot;"/>
    </dxf>
    <dxf>
      <numFmt numFmtId="165" formatCode="#,##0\ &quot;kr.&quot;"/>
    </dxf>
    <dxf>
      <protection locked="0" hidden="0"/>
    </dxf>
    <dxf>
      <numFmt numFmtId="165" formatCode="#,##0\ &quot;kr.&quot;"/>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dxf>
    <dxf>
      <border diagonalUp="0" diagonalDown="0" outline="0">
        <left/>
        <right/>
        <top/>
        <bottom style="thin">
          <color indexed="64"/>
        </bottom>
      </border>
    </dxf>
    <dxf>
      <numFmt numFmtId="165" formatCode="#,##0\ &quot;kr.&quot;"/>
    </dxf>
    <dxf>
      <numFmt numFmtId="165" formatCode="#,##0\ &quot;kr.&quot;"/>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dxf>
    <dxf>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protection locked="0" hidden="0"/>
    </dxf>
    <dxf>
      <border diagonalUp="0" diagonalDown="0" outline="0">
        <left/>
        <right/>
        <top/>
        <bottom style="thin">
          <color indexed="64"/>
        </bottom>
      </border>
    </dxf>
    <dxf>
      <numFmt numFmtId="165" formatCode="#,##0\ &quot;kr.&quot;"/>
      <protection locked="0" hidden="0"/>
    </dxf>
    <dxf>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protection locked="0" hidden="0"/>
    </dxf>
    <dxf>
      <border diagonalUp="0" diagonalDown="0" outline="0">
        <left style="thin">
          <color indexed="64"/>
        </left>
        <right style="thin">
          <color indexed="64"/>
        </right>
        <top/>
        <bottom style="thin">
          <color indexed="64"/>
        </bottom>
      </border>
    </dxf>
    <dxf>
      <border diagonalUp="0" diagonalDown="0">
        <left style="thin">
          <color indexed="64"/>
        </left>
        <right style="thin">
          <color indexed="64"/>
        </right>
        <top/>
        <bottom/>
        <vertical/>
        <horizontal/>
      </border>
      <protection locked="0" hidden="0"/>
    </dxf>
    <dxf>
      <border diagonalUp="0" diagonalDown="0" outline="0">
        <left style="thin">
          <color indexed="64"/>
        </left>
        <right/>
        <top/>
        <bottom style="thin">
          <color indexed="64"/>
        </bottom>
      </border>
    </dxf>
    <dxf>
      <numFmt numFmtId="3" formatCode="#,##0"/>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border diagonalUp="0" diagonalDown="0">
        <left style="thin">
          <color indexed="64"/>
        </left>
        <right/>
        <top/>
        <bottom/>
        <vertical/>
        <horizontal/>
      </border>
      <protection locked="0" hidden="0"/>
    </dxf>
    <dxf>
      <numFmt numFmtId="165" formatCode="#,##0\ &quot;kr.&quot;"/>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dxf>
    <dxf>
      <border diagonalUp="0" diagonalDown="0" outline="0">
        <left/>
        <right/>
        <top/>
        <bottom style="thin">
          <color indexed="64"/>
        </bottom>
      </border>
    </dxf>
    <dxf>
      <numFmt numFmtId="165" formatCode="#,##0\ &quot;kr.&quot;"/>
    </dxf>
    <dxf>
      <numFmt numFmtId="165" formatCode="#,##0\ &quot;kr.&quot;"/>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dxf>
    <dxf>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protection locked="0" hidden="0"/>
    </dxf>
    <dxf>
      <border diagonalUp="0" diagonalDown="0" outline="0">
        <left/>
        <right/>
        <top/>
        <bottom style="thin">
          <color indexed="64"/>
        </bottom>
      </border>
    </dxf>
    <dxf>
      <numFmt numFmtId="165" formatCode="#,##0\ &quot;kr.&quot;"/>
      <protection locked="0" hidden="0"/>
    </dxf>
    <dxf>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numFmt numFmtId="3" formatCode="#,##0"/>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border diagonalUp="0" diagonalDown="0">
        <left style="thin">
          <color indexed="64"/>
        </left>
        <right/>
        <top/>
        <bottom/>
        <vertical/>
        <horizontal/>
      </border>
      <protection locked="0" hidden="0"/>
    </dxf>
    <dxf>
      <numFmt numFmtId="165" formatCode="#,##0\ &quot;kr.&quot;"/>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dxf>
    <dxf>
      <border diagonalUp="0" diagonalDown="0" outline="0">
        <left/>
        <right/>
        <top/>
        <bottom style="thin">
          <color indexed="64"/>
        </bottom>
      </border>
    </dxf>
    <dxf>
      <numFmt numFmtId="165" formatCode="#,##0\ &quot;kr.&quot;"/>
    </dxf>
    <dxf>
      <numFmt numFmtId="165" formatCode="#,##0\ &quot;kr.&quot;"/>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dxf>
    <dxf>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protection locked="0" hidden="0"/>
    </dxf>
    <dxf>
      <border diagonalUp="0" diagonalDown="0" outline="0">
        <left/>
        <right/>
        <top/>
        <bottom style="thin">
          <color indexed="64"/>
        </bottom>
      </border>
    </dxf>
    <dxf>
      <numFmt numFmtId="165" formatCode="#,##0\ &quot;kr.&quot;"/>
      <protection locked="0" hidden="0"/>
    </dxf>
    <dxf>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numFmt numFmtId="3" formatCode="#,##0"/>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border diagonalUp="0" diagonalDown="0">
        <left style="thin">
          <color indexed="64"/>
        </left>
        <right/>
        <top/>
        <bottom/>
        <vertical/>
        <horizontal/>
      </border>
      <protection locked="0" hidden="0"/>
    </dxf>
    <dxf>
      <numFmt numFmtId="165" formatCode="#,##0\ &quot;kr.&quot;"/>
    </dxf>
    <dxf>
      <numFmt numFmtId="165" formatCode="#,##0\ &quot;kr.&quot;"/>
    </dxf>
    <dxf>
      <numFmt numFmtId="165" formatCode="#,##0\ &quot;kr.&quot;"/>
    </dxf>
    <dxf>
      <protection locked="0" hidden="0"/>
    </dxf>
    <dxf>
      <numFmt numFmtId="165" formatCode="#,##0\ &quot;kr.&quot;"/>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dxf>
    <dxf>
      <border diagonalUp="0" diagonalDown="0" outline="0">
        <left/>
        <right/>
        <top/>
        <bottom style="thin">
          <color indexed="64"/>
        </bottom>
      </border>
    </dxf>
    <dxf>
      <numFmt numFmtId="165" formatCode="#,##0\ &quot;kr.&quot;"/>
    </dxf>
    <dxf>
      <numFmt numFmtId="165" formatCode="#,##0\ &quot;kr.&quot;"/>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dxf>
    <dxf>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protection locked="0" hidden="0"/>
    </dxf>
    <dxf>
      <border diagonalUp="0" diagonalDown="0" outline="0">
        <left/>
        <right/>
        <top/>
        <bottom style="thin">
          <color indexed="64"/>
        </bottom>
      </border>
    </dxf>
    <dxf>
      <numFmt numFmtId="165" formatCode="#,##0\ &quot;kr.&quot;"/>
      <protection locked="0" hidden="0"/>
    </dxf>
    <dxf>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protection locked="0" hidden="0"/>
    </dxf>
    <dxf>
      <border diagonalUp="0" diagonalDown="0" outline="0">
        <left style="thin">
          <color indexed="64"/>
        </left>
        <right style="thin">
          <color indexed="64"/>
        </right>
        <top/>
        <bottom style="thin">
          <color indexed="64"/>
        </bottom>
      </border>
    </dxf>
    <dxf>
      <border diagonalUp="0" diagonalDown="0">
        <left style="thin">
          <color indexed="64"/>
        </left>
        <right style="thin">
          <color indexed="64"/>
        </right>
        <top/>
        <bottom/>
        <vertical/>
        <horizontal/>
      </border>
      <protection locked="0" hidden="0"/>
    </dxf>
    <dxf>
      <border diagonalUp="0" diagonalDown="0" outline="0">
        <left style="thin">
          <color indexed="64"/>
        </left>
        <right/>
        <top/>
        <bottom style="thin">
          <color indexed="64"/>
        </bottom>
      </border>
    </dxf>
    <dxf>
      <numFmt numFmtId="3" formatCode="#,##0"/>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border diagonalUp="0" diagonalDown="0">
        <left style="thin">
          <color indexed="64"/>
        </left>
        <right/>
        <top/>
        <bottom/>
        <vertical/>
        <horizontal/>
      </border>
      <protection locked="0" hidden="0"/>
    </dxf>
    <dxf>
      <numFmt numFmtId="165" formatCode="#,##0\ &quot;kr.&quot;"/>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dxf>
    <dxf>
      <border diagonalUp="0" diagonalDown="0" outline="0">
        <left/>
        <right/>
        <top/>
        <bottom style="thin">
          <color indexed="64"/>
        </bottom>
      </border>
    </dxf>
    <dxf>
      <numFmt numFmtId="165" formatCode="#,##0\ &quot;kr.&quot;"/>
    </dxf>
    <dxf>
      <numFmt numFmtId="165" formatCode="#,##0\ &quot;kr.&quot;"/>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dxf>
    <dxf>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protection locked="0" hidden="0"/>
    </dxf>
    <dxf>
      <border diagonalUp="0" diagonalDown="0" outline="0">
        <left/>
        <right/>
        <top/>
        <bottom style="thin">
          <color indexed="64"/>
        </bottom>
      </border>
    </dxf>
    <dxf>
      <numFmt numFmtId="165" formatCode="#,##0\ &quot;kr.&quot;"/>
      <protection locked="0" hidden="0"/>
    </dxf>
    <dxf>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numFmt numFmtId="3" formatCode="#,##0"/>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border diagonalUp="0" diagonalDown="0">
        <left style="thin">
          <color indexed="64"/>
        </left>
        <right/>
        <top/>
        <bottom/>
        <vertical/>
        <horizontal/>
      </border>
      <protection locked="0" hidden="0"/>
    </dxf>
    <dxf>
      <numFmt numFmtId="165" formatCode="#,##0\ &quot;kr.&quot;"/>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dxf>
    <dxf>
      <border diagonalUp="0" diagonalDown="0" outline="0">
        <left/>
        <right/>
        <top/>
        <bottom style="thin">
          <color indexed="64"/>
        </bottom>
      </border>
    </dxf>
    <dxf>
      <numFmt numFmtId="165" formatCode="#,##0\ &quot;kr.&quot;"/>
    </dxf>
    <dxf>
      <numFmt numFmtId="165" formatCode="#,##0\ &quot;kr.&quot;"/>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dxf>
    <dxf>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protection locked="0" hidden="0"/>
    </dxf>
    <dxf>
      <border diagonalUp="0" diagonalDown="0" outline="0">
        <left/>
        <right/>
        <top/>
        <bottom style="thin">
          <color indexed="64"/>
        </bottom>
      </border>
    </dxf>
    <dxf>
      <numFmt numFmtId="165" formatCode="#,##0\ &quot;kr.&quot;"/>
      <protection locked="0" hidden="0"/>
    </dxf>
    <dxf>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numFmt numFmtId="3" formatCode="#,##0"/>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border diagonalUp="0" diagonalDown="0">
        <left style="thin">
          <color indexed="64"/>
        </left>
        <right/>
        <top/>
        <bottom/>
        <vertical/>
        <horizontal/>
      </border>
      <protection locked="0" hidden="0"/>
    </dxf>
    <dxf>
      <numFmt numFmtId="165" formatCode="#,##0\ &quot;kr.&quot;"/>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dxf>
    <dxf>
      <border diagonalUp="0" diagonalDown="0" outline="0">
        <left/>
        <right/>
        <top/>
        <bottom style="thin">
          <color indexed="64"/>
        </bottom>
      </border>
    </dxf>
    <dxf>
      <numFmt numFmtId="165" formatCode="#,##0\ &quot;kr.&quot;"/>
    </dxf>
    <dxf>
      <numFmt numFmtId="165" formatCode="#,##0\ &quot;kr.&quot;"/>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dxf>
    <dxf>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protection locked="0" hidden="0"/>
    </dxf>
    <dxf>
      <border diagonalUp="0" diagonalDown="0" outline="0">
        <left/>
        <right/>
        <top/>
        <bottom style="thin">
          <color indexed="64"/>
        </bottom>
      </border>
    </dxf>
    <dxf>
      <numFmt numFmtId="165" formatCode="#,##0\ &quot;kr.&quot;"/>
      <protection locked="0" hidden="0"/>
    </dxf>
    <dxf>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numFmt numFmtId="3" formatCode="#,##0"/>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border diagonalUp="0" diagonalDown="0">
        <left style="thin">
          <color indexed="64"/>
        </left>
        <right/>
        <top/>
        <bottom/>
        <vertical/>
        <horizontal/>
      </border>
      <protection locked="0" hidden="0"/>
    </dxf>
    <dxf>
      <numFmt numFmtId="165" formatCode="#,##0\ &quot;kr.&quot;"/>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dxf>
    <dxf>
      <border diagonalUp="0" diagonalDown="0" outline="0">
        <left/>
        <right/>
        <top/>
        <bottom style="thin">
          <color indexed="64"/>
        </bottom>
      </border>
    </dxf>
    <dxf>
      <numFmt numFmtId="165" formatCode="#,##0\ &quot;kr.&quot;"/>
    </dxf>
    <dxf>
      <numFmt numFmtId="165" formatCode="#,##0\ &quot;kr.&quot;"/>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dxf>
    <dxf>
      <border diagonalUp="0" diagonalDown="0" outline="0">
        <left/>
        <right style="thin">
          <color indexed="64"/>
        </right>
        <top/>
        <bottom style="thin">
          <color indexed="64"/>
        </bottom>
      </border>
    </dxf>
    <dxf>
      <numFmt numFmtId="165" formatCode="#,##0\ &quot;kr.&quot;"/>
      <border diagonalUp="0" diagonalDown="0">
        <left/>
        <right style="thin">
          <color indexed="64"/>
        </right>
        <top/>
        <bottom/>
        <vertical/>
        <horizontal/>
      </border>
      <protection locked="0" hidden="0"/>
    </dxf>
    <dxf>
      <border diagonalUp="0" diagonalDown="0" outline="0">
        <left/>
        <right/>
        <top/>
        <bottom style="thin">
          <color indexed="64"/>
        </bottom>
      </border>
    </dxf>
    <dxf>
      <numFmt numFmtId="165" formatCode="#,##0\ &quot;kr.&quot;"/>
      <protection locked="0" hidden="0"/>
    </dxf>
    <dxf>
      <border diagonalUp="0" diagonalDown="0" outline="0">
        <left style="thin">
          <color indexed="64"/>
        </left>
        <right/>
        <top/>
        <bottom style="thin">
          <color indexed="64"/>
        </bottom>
      </border>
    </dxf>
    <dxf>
      <numFmt numFmtId="165" formatCode="#,##0\ &quot;kr.&quot;"/>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numFmt numFmtId="3" formatCode="#,##0"/>
      <border diagonalUp="0" diagonalDown="0">
        <left style="thin">
          <color indexed="64"/>
        </left>
        <right/>
        <top/>
        <bottom/>
        <vertical/>
        <horizontal/>
      </border>
      <protection locked="0" hidden="0"/>
    </dxf>
    <dxf>
      <border diagonalUp="0" diagonalDown="0" outline="0">
        <left/>
        <right style="thin">
          <color indexed="64"/>
        </right>
        <top/>
        <bottom style="thin">
          <color indexed="64"/>
        </bottom>
      </border>
    </dxf>
    <dxf>
      <border diagonalUp="0" diagonalDown="0">
        <left/>
        <right style="thin">
          <color indexed="64"/>
        </right>
        <top/>
        <bottom/>
        <vertical/>
        <horizontal/>
      </border>
      <protection locked="0" hidden="0"/>
    </dxf>
    <dxf>
      <border diagonalUp="0" diagonalDown="0" outline="0">
        <left style="thin">
          <color indexed="64"/>
        </left>
        <right/>
        <top/>
        <bottom style="thin">
          <color indexed="64"/>
        </bottom>
      </border>
    </dxf>
    <dxf>
      <border diagonalUp="0" diagonalDown="0">
        <left style="thin">
          <color indexed="64"/>
        </left>
        <right/>
        <top/>
        <bottom/>
        <vertical/>
        <horizontal/>
      </border>
      <protection locked="0" hidden="0"/>
    </dxf>
    <dxf>
      <numFmt numFmtId="13" formatCode="0%"/>
    </dxf>
    <dxf>
      <numFmt numFmtId="0" formatCode="General"/>
    </dxf>
    <dxf>
      <numFmt numFmtId="0" formatCode="General"/>
    </dxf>
    <dxf>
      <numFmt numFmtId="0" formatCode="General"/>
    </dxf>
    <dxf>
      <numFmt numFmtId="3" formatCode="#,##0"/>
    </dxf>
    <dxf>
      <numFmt numFmtId="0" formatCode="General"/>
    </dxf>
    <dxf>
      <numFmt numFmtId="0" formatCode="General"/>
    </dxf>
    <dxf>
      <numFmt numFmtId="0" formatCode="General"/>
    </dxf>
    <dxf>
      <numFmt numFmtId="0" formatCode="General"/>
    </dxf>
    <dxf>
      <numFmt numFmtId="0" formatCode="General"/>
    </dxf>
    <dxf>
      <numFmt numFmtId="13" formatCode="0%"/>
    </dxf>
    <dxf>
      <numFmt numFmtId="0" formatCode="General"/>
    </dxf>
    <dxf>
      <numFmt numFmtId="0" formatCode="General"/>
    </dxf>
    <dxf>
      <numFmt numFmtId="0" formatCode="General"/>
    </dxf>
    <dxf>
      <numFmt numFmtId="3" formatCode="#,##0"/>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8BA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2.xml"/><Relationship Id="rId39" Type="http://schemas.openxmlformats.org/officeDocument/2006/relationships/customXml" Target="../customXml/item15.xml"/><Relationship Id="rId21" Type="http://schemas.openxmlformats.org/officeDocument/2006/relationships/styles" Target="styles.xml"/><Relationship Id="rId34" Type="http://schemas.openxmlformats.org/officeDocument/2006/relationships/customXml" Target="../customXml/item10.xml"/><Relationship Id="rId42" Type="http://schemas.openxmlformats.org/officeDocument/2006/relationships/customXml" Target="../customXml/item1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29" Type="http://schemas.openxmlformats.org/officeDocument/2006/relationships/customXml" Target="../customXml/item5.xml"/><Relationship Id="rId41" Type="http://schemas.openxmlformats.org/officeDocument/2006/relationships/customXml" Target="../customXml/item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32" Type="http://schemas.openxmlformats.org/officeDocument/2006/relationships/customXml" Target="../customXml/item8.xml"/><Relationship Id="rId37" Type="http://schemas.openxmlformats.org/officeDocument/2006/relationships/customXml" Target="../customXml/item13.xml"/><Relationship Id="rId40" Type="http://schemas.openxmlformats.org/officeDocument/2006/relationships/customXml" Target="../customXml/item1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owerPivotData" Target="model/item.data"/><Relationship Id="rId28" Type="http://schemas.openxmlformats.org/officeDocument/2006/relationships/customXml" Target="../customXml/item4.xml"/><Relationship Id="rId36" Type="http://schemas.openxmlformats.org/officeDocument/2006/relationships/customXml" Target="../customXml/item12.xml"/><Relationship Id="rId10" Type="http://schemas.openxmlformats.org/officeDocument/2006/relationships/worksheet" Target="worksheets/sheet10.xml"/><Relationship Id="rId19" Type="http://schemas.openxmlformats.org/officeDocument/2006/relationships/theme" Target="theme/theme1.xml"/><Relationship Id="rId31" Type="http://schemas.openxmlformats.org/officeDocument/2006/relationships/customXml" Target="../customXml/item7.xml"/><Relationship Id="rId44" Type="http://schemas.openxmlformats.org/officeDocument/2006/relationships/customXml" Target="../customXml/item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 Id="rId30" Type="http://schemas.openxmlformats.org/officeDocument/2006/relationships/customXml" Target="../customXml/item6.xml"/><Relationship Id="rId35" Type="http://schemas.openxmlformats.org/officeDocument/2006/relationships/customXml" Target="../customXml/item11.xml"/><Relationship Id="rId43" Type="http://schemas.openxmlformats.org/officeDocument/2006/relationships/customXml" Target="../customXml/item19.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33" Type="http://schemas.openxmlformats.org/officeDocument/2006/relationships/customXml" Target="../customXml/item9.xml"/><Relationship Id="rId38" Type="http://schemas.openxmlformats.org/officeDocument/2006/relationships/customXml" Target="../customXml/item14.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68873</xdr:colOff>
      <xdr:row>83</xdr:row>
      <xdr:rowOff>46160</xdr:rowOff>
    </xdr:from>
    <xdr:to>
      <xdr:col>3</xdr:col>
      <xdr:colOff>3810734</xdr:colOff>
      <xdr:row>101</xdr:row>
      <xdr:rowOff>160460</xdr:rowOff>
    </xdr:to>
    <xdr:sp macro="" textlink="">
      <xdr:nvSpPr>
        <xdr:cNvPr id="2" name="Tekstfelt 1">
          <a:extLst>
            <a:ext uri="{FF2B5EF4-FFF2-40B4-BE49-F238E27FC236}">
              <a16:creationId xmlns:a16="http://schemas.microsoft.com/office/drawing/2014/main" id="{A9A03BD6-7BF4-455E-81F8-921C1867B2DB}"/>
            </a:ext>
          </a:extLst>
        </xdr:cNvPr>
        <xdr:cNvSpPr txBox="1"/>
      </xdr:nvSpPr>
      <xdr:spPr>
        <a:xfrm>
          <a:off x="68873" y="13609760"/>
          <a:ext cx="11923836" cy="35433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u="sng"/>
            <a:t>Projektforudsætninger</a:t>
          </a:r>
        </a:p>
        <a:p>
          <a:r>
            <a:rPr lang="da-DK" sz="1050" b="0" u="none"/>
            <a:t>(Her skal de</a:t>
          </a:r>
          <a:r>
            <a:rPr lang="da-DK" sz="1050" b="0" u="none" baseline="0"/>
            <a:t> forudsætninger som ovenstående budgetestimat har taget udgangspunkt i. Hvis der er omkostninger som ikke er taget med så skal disse listes op).</a:t>
          </a:r>
        </a:p>
        <a:p>
          <a:endParaRPr lang="da-DK" sz="1050" b="0" u="none" baseline="0"/>
        </a:p>
        <a:p>
          <a:r>
            <a:rPr lang="da-DK" sz="1050" b="0" u="none" baseline="0"/>
            <a:t>Eks. på omkostninger som ikke er indeholdt i ovenstående estimat er:</a:t>
          </a:r>
        </a:p>
        <a:p>
          <a:endParaRPr lang="da-DK" sz="1050" b="0" u="none" baseline="0"/>
        </a:p>
        <a:p>
          <a:r>
            <a:rPr lang="da-DK" sz="1050" b="0" u="none"/>
            <a:t>- Moms</a:t>
          </a:r>
        </a:p>
        <a:p>
          <a:r>
            <a:rPr lang="da-DK" sz="1050" b="0" u="none"/>
            <a:t>- Grund/byggeretter (inkl. honorarer og gebyrer knyttet hertil)</a:t>
          </a:r>
        </a:p>
        <a:p>
          <a:r>
            <a:rPr lang="da-DK" sz="1050" b="0" u="none"/>
            <a:t>- Omkostninger til særlige lokalplanskrav</a:t>
          </a:r>
        </a:p>
        <a:p>
          <a:r>
            <a:rPr lang="da-DK" sz="1050" b="0" u="none"/>
            <a:t>- Udgifter til eventuelle arkæologiske udgravninger på byggegrunden</a:t>
          </a:r>
        </a:p>
        <a:p>
          <a:r>
            <a:rPr lang="da-DK" sz="1050" b="0" u="none"/>
            <a:t>- Udgifter til nedrivning af eventuelle bygninger, der står på grunden i forvejen</a:t>
          </a:r>
        </a:p>
        <a:p>
          <a:r>
            <a:rPr lang="da-DK" sz="1050" b="0" u="none"/>
            <a:t>- Udgifter til eventuel forureningsafhjælpning (udgifterne opgøres som forskelsprisen på den gennemførte forureningsafhjælpning og normaludgifter for udgravning og bortskaffelse)</a:t>
          </a:r>
        </a:p>
        <a:p>
          <a:r>
            <a:rPr lang="da-DK" sz="1050" b="0" u="none"/>
            <a:t>- Udgifter til eventuel ekstrafundering (Udgifterne opgøres som forskelsprisen på den gennemførte fundering og udgiften til en normal fundering)</a:t>
          </a:r>
        </a:p>
        <a:p>
          <a:r>
            <a:rPr lang="da-DK" sz="1050" b="0" u="none"/>
            <a:t>- Finansieringsudgifter som pålægges byggesagen</a:t>
          </a:r>
        </a:p>
        <a:p>
          <a:endParaRPr lang="da-DK" sz="1050" b="0" u="none"/>
        </a:p>
        <a:p>
          <a:endParaRPr lang="da-DK" sz="1050" b="0" u="none"/>
        </a:p>
        <a:p>
          <a:endParaRPr lang="da-DK" sz="1050" b="0" u="none"/>
        </a:p>
        <a:p>
          <a:endParaRPr lang="da-DK" sz="1050" b="0" u="none"/>
        </a:p>
        <a:p>
          <a:endParaRPr lang="da-DK" sz="1050" b="0" u="none"/>
        </a:p>
      </xdr:txBody>
    </xdr:sp>
    <xdr:clientData/>
  </xdr:twoCellAnchor>
  <xdr:twoCellAnchor>
    <xdr:from>
      <xdr:col>3</xdr:col>
      <xdr:colOff>3922220</xdr:colOff>
      <xdr:row>83</xdr:row>
      <xdr:rowOff>44888</xdr:rowOff>
    </xdr:from>
    <xdr:to>
      <xdr:col>7</xdr:col>
      <xdr:colOff>864695</xdr:colOff>
      <xdr:row>101</xdr:row>
      <xdr:rowOff>159188</xdr:rowOff>
    </xdr:to>
    <xdr:sp macro="" textlink="">
      <xdr:nvSpPr>
        <xdr:cNvPr id="3" name="Tekstfelt 2">
          <a:extLst>
            <a:ext uri="{FF2B5EF4-FFF2-40B4-BE49-F238E27FC236}">
              <a16:creationId xmlns:a16="http://schemas.microsoft.com/office/drawing/2014/main" id="{B0F5F18C-9883-4824-BFFE-04C61EBF42C3}"/>
            </a:ext>
          </a:extLst>
        </xdr:cNvPr>
        <xdr:cNvSpPr txBox="1"/>
      </xdr:nvSpPr>
      <xdr:spPr>
        <a:xfrm>
          <a:off x="5979620" y="13227488"/>
          <a:ext cx="6343650" cy="35433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u="sng"/>
            <a:t>Risikovurdering</a:t>
          </a:r>
        </a:p>
        <a:p>
          <a:pPr eaLnBrk="0" hangingPunct="0"/>
          <a:r>
            <a:rPr lang="da-DK" sz="1050" b="0" u="none"/>
            <a:t>(Her skal der foretages en kort </a:t>
          </a:r>
          <a:r>
            <a:rPr lang="da-DK" sz="1100">
              <a:solidFill>
                <a:schemeClr val="dk1"/>
              </a:solidFill>
              <a:effectLst/>
              <a:latin typeface="+mn-lt"/>
              <a:ea typeface="+mn-ea"/>
              <a:cs typeface="+mn-cs"/>
            </a:rPr>
            <a:t>analyse af de potentielle risici, der kan påvirke projektet, og en plan for at håndtere dem, hvis de opstår.)</a:t>
          </a:r>
        </a:p>
        <a:p>
          <a:endParaRPr lang="da-DK" sz="1050" b="0" u="none"/>
        </a:p>
        <a:p>
          <a:endParaRPr lang="da-DK" sz="1050" b="0" u="none"/>
        </a:p>
        <a:p>
          <a:endParaRPr lang="da-DK" sz="1050" b="0" u="none"/>
        </a:p>
        <a:p>
          <a:endParaRPr lang="da-DK" sz="1050" b="0" u="none"/>
        </a:p>
        <a:p>
          <a:endParaRPr lang="da-DK" sz="1050" b="0" u="non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87923</xdr:colOff>
      <xdr:row>68</xdr:row>
      <xdr:rowOff>36635</xdr:rowOff>
    </xdr:from>
    <xdr:to>
      <xdr:col>3</xdr:col>
      <xdr:colOff>3829784</xdr:colOff>
      <xdr:row>86</xdr:row>
      <xdr:rowOff>142875</xdr:rowOff>
    </xdr:to>
    <xdr:sp macro="" textlink="">
      <xdr:nvSpPr>
        <xdr:cNvPr id="2" name="Tekstfelt 1">
          <a:extLst>
            <a:ext uri="{FF2B5EF4-FFF2-40B4-BE49-F238E27FC236}">
              <a16:creationId xmlns:a16="http://schemas.microsoft.com/office/drawing/2014/main" id="{F03ADB31-CC78-436C-A635-5C0681BEFFCD}"/>
            </a:ext>
          </a:extLst>
        </xdr:cNvPr>
        <xdr:cNvSpPr txBox="1"/>
      </xdr:nvSpPr>
      <xdr:spPr>
        <a:xfrm>
          <a:off x="87923" y="13219235"/>
          <a:ext cx="5799261" cy="353524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u="sng"/>
            <a:t>Projektforudsætninger</a:t>
          </a:r>
        </a:p>
        <a:p>
          <a:r>
            <a:rPr lang="da-DK" sz="1050" b="0" u="none" baseline="0"/>
            <a:t>(Her skal der indskrives de projektforudsætninger som budgetestimatet ligger til grund for)</a:t>
          </a:r>
        </a:p>
        <a:p>
          <a:endParaRPr lang="da-DK" sz="1050" b="0" u="none" baseline="0"/>
        </a:p>
        <a:p>
          <a:r>
            <a:rPr lang="da-DK" sz="1050" b="0" u="none" baseline="0"/>
            <a:t>Omkostninger som ikke er indeholdt i ovenstående estimat er:</a:t>
          </a:r>
        </a:p>
        <a:p>
          <a:r>
            <a:rPr lang="da-DK" sz="1050" b="0" u="none" baseline="0"/>
            <a:t>		</a:t>
          </a:r>
        </a:p>
        <a:p>
          <a:r>
            <a:rPr lang="da-DK" sz="1050" b="0" u="none"/>
            <a:t>- Moms</a:t>
          </a:r>
        </a:p>
        <a:p>
          <a:r>
            <a:rPr lang="da-DK" sz="1050" b="0" u="none"/>
            <a:t>- Grund/byggeretter (inkl. honorarer og gebyrer knyttet hertil)</a:t>
          </a:r>
        </a:p>
        <a:p>
          <a:r>
            <a:rPr lang="da-DK" sz="1050" b="0" u="none"/>
            <a:t>- Omkostninger til særlige lokalplanskrav</a:t>
          </a:r>
        </a:p>
        <a:p>
          <a:r>
            <a:rPr lang="da-DK" sz="1050" b="0" u="none"/>
            <a:t>- Udgifter til eventuelle arkæologiske udgravninger på byggegrunden</a:t>
          </a:r>
        </a:p>
        <a:p>
          <a:r>
            <a:rPr lang="da-DK" sz="1050" b="0" u="none"/>
            <a:t>- Udgifter til nedrivning af eventuelle bygninger, der står på grunden i forvejen</a:t>
          </a:r>
        </a:p>
        <a:p>
          <a:r>
            <a:rPr lang="da-DK" sz="1050" b="0" u="none"/>
            <a:t>- Udgifter til eventuel forureningsafhjælpning (udgifterne opgøres som forskelsprisen på den gennemførte forureningsafhjælpning og normaludgifter for udgravning og bortskaffelse)</a:t>
          </a:r>
        </a:p>
        <a:p>
          <a:r>
            <a:rPr lang="da-DK" sz="1050" b="0" u="none"/>
            <a:t>- Udgifter til eventuel ekstrafundering (Udgifterne opgøres som forskelsprisen på den gennemførte fundering og udgiften til en normal fundering)</a:t>
          </a:r>
        </a:p>
        <a:p>
          <a:r>
            <a:rPr lang="da-DK" sz="1050" b="0" u="none"/>
            <a:t>- Finansieringsudgifter som pålægges byggesagen</a:t>
          </a:r>
        </a:p>
        <a:p>
          <a:endParaRPr lang="da-DK" sz="1050" b="0" u="none"/>
        </a:p>
        <a:p>
          <a:endParaRPr lang="da-DK" sz="1050" b="0" u="none"/>
        </a:p>
        <a:p>
          <a:endParaRPr lang="da-DK" sz="1050" b="0" u="none"/>
        </a:p>
        <a:p>
          <a:endParaRPr lang="da-DK" sz="1050" b="0" u="none"/>
        </a:p>
        <a:p>
          <a:endParaRPr lang="da-DK" sz="1050" b="0" u="none"/>
        </a:p>
      </xdr:txBody>
    </xdr:sp>
    <xdr:clientData/>
  </xdr:twoCellAnchor>
  <xdr:twoCellAnchor>
    <xdr:from>
      <xdr:col>3</xdr:col>
      <xdr:colOff>3922220</xdr:colOff>
      <xdr:row>68</xdr:row>
      <xdr:rowOff>44888</xdr:rowOff>
    </xdr:from>
    <xdr:to>
      <xdr:col>7</xdr:col>
      <xdr:colOff>864695</xdr:colOff>
      <xdr:row>86</xdr:row>
      <xdr:rowOff>159188</xdr:rowOff>
    </xdr:to>
    <xdr:sp macro="" textlink="">
      <xdr:nvSpPr>
        <xdr:cNvPr id="3" name="Tekstfelt 2">
          <a:extLst>
            <a:ext uri="{FF2B5EF4-FFF2-40B4-BE49-F238E27FC236}">
              <a16:creationId xmlns:a16="http://schemas.microsoft.com/office/drawing/2014/main" id="{255A1A8B-11A6-433C-82A1-B7017D6CF05D}"/>
            </a:ext>
          </a:extLst>
        </xdr:cNvPr>
        <xdr:cNvSpPr txBox="1"/>
      </xdr:nvSpPr>
      <xdr:spPr>
        <a:xfrm>
          <a:off x="5984875" y="13406164"/>
          <a:ext cx="5666061" cy="35433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u="sng"/>
            <a:t>Risikovurdering</a:t>
          </a:r>
        </a:p>
        <a:p>
          <a:pPr eaLnBrk="0" hangingPunct="0"/>
          <a:r>
            <a:rPr lang="da-DK" sz="1050" b="0" u="none"/>
            <a:t>(Her skal der foretages en kort </a:t>
          </a:r>
          <a:r>
            <a:rPr lang="da-DK" sz="1100">
              <a:solidFill>
                <a:schemeClr val="dk1"/>
              </a:solidFill>
              <a:effectLst/>
              <a:latin typeface="+mn-lt"/>
              <a:ea typeface="+mn-ea"/>
              <a:cs typeface="+mn-cs"/>
            </a:rPr>
            <a:t>analyse af de potentielle risici, der kan påvirke projektet, og en plan for at håndtere dem, hvis de opstår.)</a:t>
          </a:r>
        </a:p>
        <a:p>
          <a:endParaRPr lang="da-DK" sz="1050" b="0" u="none"/>
        </a:p>
        <a:p>
          <a:endParaRPr lang="da-DK" sz="1050" b="0" u="none"/>
        </a:p>
        <a:p>
          <a:endParaRPr lang="da-DK" sz="1050" b="0" u="none"/>
        </a:p>
        <a:p>
          <a:endParaRPr lang="da-DK" sz="1050" b="0" u="none"/>
        </a:p>
        <a:p>
          <a:endParaRPr lang="da-DK" sz="1050" b="0" u="none"/>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219075</xdr:colOff>
      <xdr:row>20</xdr:row>
      <xdr:rowOff>76200</xdr:rowOff>
    </xdr:from>
    <xdr:to>
      <xdr:col>5</xdr:col>
      <xdr:colOff>160461</xdr:colOff>
      <xdr:row>39</xdr:row>
      <xdr:rowOff>0</xdr:rowOff>
    </xdr:to>
    <xdr:sp macro="" textlink="">
      <xdr:nvSpPr>
        <xdr:cNvPr id="2" name="Tekstfelt 1">
          <a:extLst>
            <a:ext uri="{FF2B5EF4-FFF2-40B4-BE49-F238E27FC236}">
              <a16:creationId xmlns:a16="http://schemas.microsoft.com/office/drawing/2014/main" id="{7EDDBC9B-18B9-45F7-BFAB-29ADB525EF5D}"/>
            </a:ext>
          </a:extLst>
        </xdr:cNvPr>
        <xdr:cNvSpPr txBox="1"/>
      </xdr:nvSpPr>
      <xdr:spPr>
        <a:xfrm>
          <a:off x="400050" y="4772025"/>
          <a:ext cx="5799261" cy="35433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u="sng"/>
            <a:t>Projektforudsætninger</a:t>
          </a:r>
        </a:p>
        <a:p>
          <a:r>
            <a:rPr lang="da-DK" sz="1050" b="0" u="none"/>
            <a:t>Malerarbejder</a:t>
          </a:r>
          <a:r>
            <a:rPr lang="da-DK" sz="1050" b="0" u="none" baseline="0"/>
            <a:t> er fundt fra Molio gul bog: (48)17.10,01</a:t>
          </a:r>
        </a:p>
        <a:p>
          <a:endParaRPr lang="da-DK" sz="1050" b="0" u="none"/>
        </a:p>
        <a:p>
          <a:endParaRPr lang="da-DK" sz="1050" b="0" u="none"/>
        </a:p>
        <a:p>
          <a:endParaRPr lang="da-DK" sz="1050" b="0" u="none"/>
        </a:p>
      </xdr:txBody>
    </xdr: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rteza Sarraf Sandvad" refreshedDate="45741.463825231483" backgroundQuery="1" createdVersion="8" refreshedVersion="8" minRefreshableVersion="3" recordCount="0" supportSubquery="1" supportAdvancedDrill="1" xr:uid="{1973FF04-5350-43F5-9538-F7BE6A15C8F9}">
  <cacheSource type="external" connectionId="11"/>
  <cacheFields count="5">
    <cacheField name="[Measures].[Budget beløb]" caption="Budget beløb" numFmtId="0" hierarchy="21" level="32767"/>
    <cacheField name="[Dimensioner].[Hovedpunkt].[Hovedpunkt]" caption="Hovedpunkt" numFmtId="0" hierarchy="2" level="1">
      <sharedItems containsString="0" containsBlank="1" containsNumber="1" containsInteger="1" minValue="3" maxValue="6" count="3">
        <m/>
        <n v="3"/>
        <n v="6"/>
      </sharedItems>
      <extLst>
        <ext xmlns:x15="http://schemas.microsoft.com/office/spreadsheetml/2010/11/main" uri="{4F2E5C28-24EA-4eb8-9CBF-B6C8F9C3D259}">
          <x15:cachedUniqueNames>
            <x15:cachedUniqueName index="1" name="[Dimensioner].[Hovedpunkt].&amp;[3]"/>
            <x15:cachedUniqueName index="2" name="[Dimensioner].[Hovedpunkt].&amp;[6]"/>
          </x15:cachedUniqueNames>
        </ext>
      </extLst>
    </cacheField>
    <cacheField name="[Dimensioner].[Punkt].[Punkt]" caption="Punkt" numFmtId="0" hierarchy="3" level="1">
      <sharedItems count="11">
        <s v="0"/>
        <s v="3.1"/>
        <s v="3.2"/>
        <s v="3.3"/>
        <s v="6.1"/>
        <s v="6.2"/>
        <s v="6.3"/>
        <s v="6.4"/>
        <s v="6.5"/>
        <s v="6.7"/>
        <s v="6.8"/>
      </sharedItems>
    </cacheField>
    <cacheField name="[Dimensioner].[Punktbeskrivelse].[Punktbeskrivelse]" caption="Punktbeskrivelse" numFmtId="0" hierarchy="5" level="1">
      <sharedItems count="11">
        <s v="Oprunding til nærmeste 100.000 kr."/>
        <s v="Byggepladsomkostninger (anstilling og nedtagning af byggeplads i byggeperioden)"/>
        <s v="Vinterforanstaltninger"/>
        <s v="Bæredygtighed (Certificeringsmulighed, materiale, komponenter mv.)"/>
        <s v="Uforudsete udgifter"/>
        <s v="Rådgiverhonorar"/>
        <s v="DALUX"/>
        <s v="Rengøring"/>
        <s v="Myndighedsbehandling"/>
        <s v="Flytteomkostninger"/>
        <s v="Reetableringsomkostninger"/>
      </sharedItems>
    </cacheField>
    <cacheField name="[Dimensioner].[Sagsopgave].[Sagsopgave]" caption="Sagsopgave" numFmtId="0" hierarchy="4" level="1">
      <sharedItems count="1">
        <s v="0"/>
      </sharedItems>
    </cacheField>
  </cacheFields>
  <cacheHierarchies count="27">
    <cacheHierarchy uniqueName="[Data samlet].[Beskrivelse]" caption="Beskrivelse" attribute="1" defaultMemberUniqueName="[Data samlet].[Beskrivelse].[All]" allUniqueName="[Data samlet].[Beskrivelse].[All]" dimensionUniqueName="[Data samlet]" displayFolder="" count="0" memberValueDatatype="130" unbalanced="0"/>
    <cacheHierarchy uniqueName="[Data samlet].[Metode]" caption="Metode" attribute="1" defaultMemberUniqueName="[Data samlet].[Metode].[All]" allUniqueName="[Data samlet].[Metode].[All]" dimensionUniqueName="[Data samlet]" displayFolder="" count="0" memberValueDatatype="130" unbalanced="0"/>
    <cacheHierarchy uniqueName="[Dimensioner].[Hovedpunkt]" caption="Hovedpunkt" attribute="1" defaultMemberUniqueName="[Dimensioner].[Hovedpunkt].[All]" allUniqueName="[Dimensioner].[Hovedpunkt].[All]" dimensionUniqueName="[Dimensioner]" displayFolder="" count="2" memberValueDatatype="20" unbalanced="0">
      <fieldsUsage count="2">
        <fieldUsage x="-1"/>
        <fieldUsage x="1"/>
      </fieldsUsage>
    </cacheHierarchy>
    <cacheHierarchy uniqueName="[Dimensioner].[Punkt]" caption="Punkt" attribute="1" defaultMemberUniqueName="[Dimensioner].[Punkt].[All]" allUniqueName="[Dimensioner].[Punkt].[All]" dimensionUniqueName="[Dimensioner]" displayFolder="" count="2" memberValueDatatype="130" unbalanced="0">
      <fieldsUsage count="2">
        <fieldUsage x="-1"/>
        <fieldUsage x="2"/>
      </fieldsUsage>
    </cacheHierarchy>
    <cacheHierarchy uniqueName="[Dimensioner].[Sagsopgave]" caption="Sagsopgave" attribute="1" defaultMemberUniqueName="[Dimensioner].[Sagsopgave].[All]" allUniqueName="[Dimensioner].[Sagsopgave].[All]" dimensionUniqueName="[Dimensioner]" displayFolder="" count="2" memberValueDatatype="130" unbalanced="0">
      <fieldsUsage count="2">
        <fieldUsage x="-1"/>
        <fieldUsage x="4"/>
      </fieldsUsage>
    </cacheHierarchy>
    <cacheHierarchy uniqueName="[Dimensioner].[Punktbeskrivelse]" caption="Punktbeskrivelse" attribute="1" defaultMemberUniqueName="[Dimensioner].[Punktbeskrivelse].[All]" allUniqueName="[Dimensioner].[Punktbeskrivelse].[All]" dimensionUniqueName="[Dimensioner]" displayFolder="" count="2" memberValueDatatype="130" unbalanced="0">
      <fieldsUsage count="2">
        <fieldUsage x="-1"/>
        <fieldUsage x="3"/>
      </fieldsUsage>
    </cacheHierarchy>
    <cacheHierarchy uniqueName="[Stamdata].[ID]" caption="ID" attribute="1" defaultMemberUniqueName="[Stamdata].[ID].[All]" allUniqueName="[Stamdata].[ID].[All]" dimensionUniqueName="[Stamdata]" displayFolder="" count="0" memberValueDatatype="130" unbalanced="0"/>
    <cacheHierarchy uniqueName="[Stamdata].[Projektnavn]" caption="Projektnavn" attribute="1" defaultMemberUniqueName="[Stamdata].[Projektnavn].[All]" allUniqueName="[Stamdata].[Projektnavn].[All]" dimensionUniqueName="[Stamdata]" displayFolder="" count="0" memberValueDatatype="130" unbalanced="0"/>
    <cacheHierarchy uniqueName="[Stamdata].[Ansvarlig PL]" caption="Ansvarlig PL" attribute="1" defaultMemberUniqueName="[Stamdata].[Ansvarlig PL].[All]" allUniqueName="[Stamdata].[Ansvarlig PL].[All]" dimensionUniqueName="[Stamdata]" displayFolder="" count="0" memberValueDatatype="130" unbalanced="0"/>
    <cacheHierarchy uniqueName="[Stamdata].[Sagsnr.]" caption="Sagsnr." attribute="1" defaultMemberUniqueName="[Stamdata].[Sagsnr.].[All]" allUniqueName="[Stamdata].[Sagsnr.].[All]" dimensionUniqueName="[Stamdata]" displayFolder="" count="0" memberValueDatatype="20" unbalanced="0"/>
    <cacheHierarchy uniqueName="[Stamdata].[YBL-fase]" caption="YBL-fase" attribute="1" defaultMemberUniqueName="[Stamdata].[YBL-fase].[All]" allUniqueName="[Stamdata].[YBL-fase].[All]" dimensionUniqueName="[Stamdata]" displayFolder="" count="0" memberValueDatatype="130" unbalanced="0"/>
    <cacheHierarchy uniqueName="[Stamdata].[Revisionsdato]" caption="Revisionsdato" attribute="1" time="1" defaultMemberUniqueName="[Stamdata].[Revisionsdato].[All]" allUniqueName="[Stamdata].[Revisionsdato].[All]" dimensionUniqueName="[Stamdata]" displayFolder="" count="0" memberValueDatatype="7" unbalanced="0"/>
    <cacheHierarchy uniqueName="[Stamdata].[Revisionsnummer]" caption="Revisionsnummer" attribute="1" defaultMemberUniqueName="[Stamdata].[Revisionsnummer].[All]" allUniqueName="[Stamdata].[Revisionsnummer].[All]" dimensionUniqueName="[Stamdata]" displayFolder="" count="0" memberValueDatatype="130" unbalanced="0"/>
    <cacheHierarchy uniqueName="[Stamdata].[Forventet startdato]" caption="Forventet startdato" attribute="1" time="1" defaultMemberUniqueName="[Stamdata].[Forventet startdato].[All]" allUniqueName="[Stamdata].[Forventet startdato].[All]" dimensionUniqueName="[Stamdata]" displayFolder="" count="0" memberValueDatatype="7" unbalanced="0"/>
    <cacheHierarchy uniqueName="[Stamdata].[Forventet slutdato]" caption="Forventet slutdato" attribute="1" time="1" defaultMemberUniqueName="[Stamdata].[Forventet slutdato].[All]" allUniqueName="[Stamdata].[Forventet slutdato].[All]" dimensionUniqueName="[Stamdata]" displayFolder="" count="0" memberValueDatatype="7" unbalanced="0"/>
    <cacheHierarchy uniqueName="[Stamdata].[Andel anlæg]" caption="Andel anlæg" attribute="1" defaultMemberUniqueName="[Stamdata].[Andel anlæg].[All]" allUniqueName="[Stamdata].[Andel anlæg].[All]" dimensionUniqueName="[Stamdata]" displayFolder="" count="0" memberValueDatatype="5" unbalanced="0"/>
    <cacheHierarchy uniqueName="[Stamdata].[Godkendt af]" caption="Godkendt af" attribute="1" defaultMemberUniqueName="[Stamdata].[Godkendt af].[All]" allUniqueName="[Stamdata].[Godkendt af].[All]" dimensionUniqueName="[Stamdata]" displayFolder="" count="0" memberValueDatatype="130" unbalanced="0"/>
    <cacheHierarchy uniqueName="[Beregninger].[Column]" caption="Column" attribute="1" defaultMemberUniqueName="[Beregninger].[Column].[All]" allUniqueName="[Beregninger].[Column].[All]" dimensionUniqueName="[Beregninger]" displayFolder="" count="0" memberValueDatatype="130" unbalanced="0" hidden="1"/>
    <cacheHierarchy uniqueName="[Data samlet].[Beløb]" caption="Beløb" attribute="1" defaultMemberUniqueName="[Data samlet].[Beløb].[All]" allUniqueName="[Data samlet].[Beløb].[All]" dimensionUniqueName="[Data samlet]" displayFolder="" count="0" memberValueDatatype="5" unbalanced="0" hidden="1"/>
    <cacheHierarchy uniqueName="[Data samlet].[ID]" caption="ID" attribute="1" defaultMemberUniqueName="[Data samlet].[ID].[All]" allUniqueName="[Data samlet].[ID].[All]" dimensionUniqueName="[Data samlet]" displayFolder="" count="0" memberValueDatatype="130" unbalanced="0" hidden="1"/>
    <cacheHierarchy uniqueName="[Data samlet].[Punkt]" caption="Punkt" attribute="1" defaultMemberUniqueName="[Data samlet].[Punkt].[All]" allUniqueName="[Data samlet].[Punkt].[All]" dimensionUniqueName="[Data samlet]" displayFolder="" count="0" memberValueDatatype="130" unbalanced="0" hidden="1"/>
    <cacheHierarchy uniqueName="[Measures].[Budget beløb]" caption="Budget beløb" measure="1" displayFolder="" measureGroup="Beregninger" count="0" oneField="1">
      <fieldsUsage count="1">
        <fieldUsage x="0"/>
      </fieldsUsage>
    </cacheHierarchy>
    <cacheHierarchy uniqueName="[Measures].[__XL_Count Dimensioner]" caption="__XL_Count Dimensioner" measure="1" displayFolder="" measureGroup="Dimensioner" count="0" hidden="1"/>
    <cacheHierarchy uniqueName="[Measures].[__XL_Count Data samlet]" caption="__XL_Count Data samlet" measure="1" displayFolder="" measureGroup="Data samlet" count="0" hidden="1"/>
    <cacheHierarchy uniqueName="[Measures].[__XL_Count Beregninger]" caption="__XL_Count Beregninger" measure="1" displayFolder="" measureGroup="Beregninger" count="0" hidden="1"/>
    <cacheHierarchy uniqueName="[Measures].[__XL_Count Stamdata]" caption="__XL_Count Stamdata" measure="1" displayFolder="" measureGroup="Stamdata" count="0" hidden="1"/>
    <cacheHierarchy uniqueName="[Measures].[__No measures defined]" caption="__No measures defined" measure="1" displayFolder="" count="0" hidden="1"/>
  </cacheHierarchies>
  <kpis count="0"/>
  <dimensions count="4">
    <dimension name="Data samlet" uniqueName="[Data samlet]" caption="Data samlet"/>
    <dimension name="Dimensioner" uniqueName="[Dimensioner]" caption="Dimensioner"/>
    <dimension measure="1" name="Measures" uniqueName="[Measures]" caption="Measures"/>
    <dimension name="Stamdata" uniqueName="[Stamdata]" caption="Stamdata"/>
  </dimensions>
  <measureGroups count="4">
    <measureGroup name="Beregninger" caption="Beregninger"/>
    <measureGroup name="Data samlet" caption="Data samlet"/>
    <measureGroup name="Dimensioner" caption="Dimensioner"/>
    <measureGroup name="Stamdata" caption="Stamdata"/>
  </measureGroups>
  <maps count="5">
    <map measureGroup="1" dimension="0"/>
    <map measureGroup="1" dimension="1"/>
    <map measureGroup="1" dimension="3"/>
    <map measureGroup="2" dimension="1"/>
    <map measureGroup="3" dimension="3"/>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5BCA2FB-A6D8-4DD4-B12A-D86124F37836}" name="PivotTable1" cacheId="119" applyNumberFormats="0" applyBorderFormats="0" applyFontFormats="0" applyPatternFormats="0" applyAlignmentFormats="0" applyWidthHeightFormats="1" dataCaption="Values" tag="9008e2e9-6bba-470a-a8d7-53c954aa30fd" updatedVersion="8" minRefreshableVersion="3" subtotalHiddenItems="1" itemPrintTitles="1" createdVersion="8" indent="0" compact="0" compactData="0" multipleFieldFilters="0">
  <location ref="A5:E20" firstHeaderRow="1" firstDataRow="1" firstDataCol="4"/>
  <pivotFields count="5">
    <pivotField dataField="1" compact="0" outline="0" subtotalTop="0" showAll="0" defaultSubtotal="0"/>
    <pivotField axis="axisRow" compact="0" allDrilled="1" outline="0" subtotalTop="0" showAll="0" dataSourceSort="1" defaultAttributeDrillState="1">
      <items count="4">
        <item x="0"/>
        <item x="1"/>
        <item x="2"/>
        <item t="default"/>
      </items>
    </pivotField>
    <pivotField axis="axisRow" compact="0" allDrilled="1" outline="0" subtotalTop="0" showAll="0" dataSourceSort="1" defaultSubtotal="0" defaultAttributeDrillState="1">
      <items count="11">
        <item x="0"/>
        <item x="1"/>
        <item x="2"/>
        <item x="3"/>
        <item x="4"/>
        <item x="5"/>
        <item x="6"/>
        <item x="7"/>
        <item x="8"/>
        <item x="9"/>
        <item x="10"/>
      </items>
    </pivotField>
    <pivotField axis="axisRow" compact="0" allDrilled="1" outline="0" subtotalTop="0" showAll="0" dataSourceSort="1" defaultSubtotal="0" defaultAttributeDrillState="1">
      <items count="11">
        <item x="0"/>
        <item x="1"/>
        <item x="2"/>
        <item x="3"/>
        <item x="4"/>
        <item x="5"/>
        <item x="6"/>
        <item x="7"/>
        <item x="8"/>
        <item x="9"/>
        <item x="10"/>
      </items>
    </pivotField>
    <pivotField axis="axisRow" compact="0" allDrilled="1" outline="0" subtotalTop="0" showAll="0" dataSourceSort="1" defaultSubtotal="0" defaultAttributeDrillState="1">
      <items count="1">
        <item x="0"/>
      </items>
    </pivotField>
  </pivotFields>
  <rowFields count="4">
    <field x="1"/>
    <field x="2"/>
    <field x="3"/>
    <field x="4"/>
  </rowFields>
  <rowItems count="15">
    <i>
      <x/>
      <x/>
      <x/>
      <x/>
    </i>
    <i t="default">
      <x/>
    </i>
    <i>
      <x v="1"/>
      <x v="1"/>
      <x v="1"/>
      <x/>
    </i>
    <i r="1">
      <x v="2"/>
      <x v="2"/>
      <x/>
    </i>
    <i r="1">
      <x v="3"/>
      <x v="3"/>
      <x/>
    </i>
    <i t="default">
      <x v="1"/>
    </i>
    <i>
      <x v="2"/>
      <x v="4"/>
      <x v="4"/>
      <x/>
    </i>
    <i r="1">
      <x v="5"/>
      <x v="5"/>
      <x/>
    </i>
    <i r="1">
      <x v="6"/>
      <x v="6"/>
      <x/>
    </i>
    <i r="1">
      <x v="7"/>
      <x v="7"/>
      <x/>
    </i>
    <i r="1">
      <x v="8"/>
      <x v="8"/>
      <x/>
    </i>
    <i r="1">
      <x v="9"/>
      <x v="9"/>
      <x/>
    </i>
    <i r="1">
      <x v="10"/>
      <x v="10"/>
      <x/>
    </i>
    <i t="default">
      <x v="2"/>
    </i>
    <i t="grand">
      <x/>
    </i>
  </rowItems>
  <colItems count="1">
    <i/>
  </colItems>
  <dataFields count="1">
    <dataField fld="0" subtotal="count" baseField="0" baseItem="0"/>
  </dataFields>
  <pivotHierarchies count="2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4">
    <rowHierarchyUsage hierarchyUsage="2"/>
    <rowHierarchyUsage hierarchyUsage="3"/>
    <rowHierarchyUsage hierarchyUsage="5"/>
    <rowHierarchyUsage hierarchyUsage="4"/>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Dimensioner]"/>
        <x15:activeTabTopLevelEntity name="[Stamdata]"/>
      </x15:pivotTableUISettings>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backgroundRefresh="0" connectionId="2" xr16:uid="{63F636EE-9DFF-4603-A02F-E45F4A5E44A4}" autoFormatId="16" applyNumberFormats="0" applyBorderFormats="0" applyFontFormats="0" applyPatternFormats="0" applyAlignmentFormats="0" applyWidthHeightFormats="0">
  <queryTableRefresh nextId="7">
    <queryTableFields count="5">
      <queryTableField id="5" name="ID" tableColumnId="5"/>
      <queryTableField id="1" name="Punkt" tableColumnId="1"/>
      <queryTableField id="2" name="Beskrivelse" tableColumnId="2"/>
      <queryTableField id="3" name="Metode" tableColumnId="3"/>
      <queryTableField id="4" name="Beløb" tableColumnId="4"/>
    </queryTableFields>
  </queryTableRefresh>
  <extLst>
    <ext xmlns:x15="http://schemas.microsoft.com/office/spreadsheetml/2010/11/main" uri="{883FBD77-0823-4a55-B5E3-86C4891E6966}">
      <x15:queryTable sourceDataName="Query - Data samlet"/>
    </ext>
  </extLst>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4" backgroundRefresh="0" connectionId="3" xr16:uid="{525EC7F3-59B3-4CDB-A8D1-B84F396DE52D}" autoFormatId="16" applyNumberFormats="0" applyBorderFormats="0" applyFontFormats="0" applyPatternFormats="0" applyAlignmentFormats="0" applyWidthHeightFormats="0">
  <queryTableRefresh nextId="12">
    <queryTableFields count="11">
      <queryTableField id="1" name="ID" tableColumnId="1"/>
      <queryTableField id="2" name="Projektnavn" tableColumnId="2"/>
      <queryTableField id="3" name="Ansvarlig PL" tableColumnId="3"/>
      <queryTableField id="4" name="Sagsnr." tableColumnId="4"/>
      <queryTableField id="5" name="YBL-fase" tableColumnId="5"/>
      <queryTableField id="6" name="Revisionsdato" tableColumnId="6"/>
      <queryTableField id="7" name="Revisionsnummer" tableColumnId="7"/>
      <queryTableField id="8" name="Forventet startdato" tableColumnId="8"/>
      <queryTableField id="9" name="Forventet slutdato" tableColumnId="9"/>
      <queryTableField id="10" name="Andel anlæg" tableColumnId="10"/>
      <queryTableField id="11" name="Godkendt af" tableColumnId="11"/>
    </queryTableFields>
  </queryTableRefresh>
  <extLst>
    <ext xmlns:x15="http://schemas.microsoft.com/office/spreadsheetml/2010/11/main" uri="{883FBD77-0823-4a55-B5E3-86C4891E6966}">
      <x15:queryTable sourceDataName="Query - Stamdata"/>
    </ext>
  </extLst>
</queryTable>
</file>

<file path=xl/tables/_rels/table28.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9.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400874C-0CA4-440B-A8A7-2AB28A8CFDF3}" name="Tabel_Samleark13" displayName="Tabel_Samleark13" ref="K35:P69" totalsRowShown="0">
  <autoFilter ref="K35:P69" xr:uid="{C8D47773-FD3F-4502-AE8E-8A494A9887E2}"/>
  <tableColumns count="6">
    <tableColumn id="1" xr3:uid="{7D421093-83C9-42EC-BA21-08DDE7214366}" name="Punkt" dataDxfId="384">
      <calculatedColumnFormula>IF(I36="","",C36)</calculatedColumnFormula>
    </tableColumn>
    <tableColumn id="7" xr3:uid="{EF6D35FF-108D-4665-9B41-5D2BDD97E936}" name="Hovedpunkt" dataDxfId="383">
      <calculatedColumnFormula>IFERROR(LEFT(Tabel_Samleark13[[#This Row],[Punkt]],FIND(".",Tabel_Samleark13[[#This Row],[Punkt]])-1),"")</calculatedColumnFormula>
    </tableColumn>
    <tableColumn id="6" xr3:uid="{C0DDB944-36F9-40F8-88F1-47B71921DE81}" name="Sagsopgave" dataDxfId="382">
      <calculatedColumnFormula>IF(Tabel_Samleark13[[#This Row],[Punkt]]="","",$B36)</calculatedColumnFormula>
    </tableColumn>
    <tableColumn id="5" xr3:uid="{1790069C-9006-47AF-BA8D-C5E91C226035}" name="Beskrivelse" dataDxfId="381">
      <calculatedColumnFormula>IF(Tabel_Samleark13[[#This Row],[Punkt]]="","",$D36)</calculatedColumnFormula>
    </tableColumn>
    <tableColumn id="2" xr3:uid="{54254456-09A2-4943-9A0A-B1258D2DDAA0}" name="Overskriv faneværdier" dataDxfId="380">
      <calculatedColumnFormula>IF(Tabel_Samleark13[[#This Row],[Punkt]]="","",IF(G36&lt;&gt;"","Ja","Nej"))</calculatedColumnFormula>
    </tableColumn>
    <tableColumn id="3" xr3:uid="{22401ECA-79CA-4005-90BB-7CA27662D857}" name="Beløb" dataDxfId="379">
      <calculatedColumnFormula>IF(Tabel_Samleark13[[#This Row],[Overskriv faneværdier]]="Ja",$G36,IF($I36="Samleark",$F36,""))</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02FA2F-6595-40E2-AD83-311926A09174}" name="Tabel_2.2_SK" displayName="Tabel_2.2_SK" ref="B24:K34" totalsRowCount="1">
  <autoFilter ref="B24:K33" xr:uid="{F61E808D-A407-4B24-9E4F-53BE836DDF90}"/>
  <tableColumns count="10">
    <tableColumn id="1" xr3:uid="{A8146438-FFEE-4425-B992-C39B37136098}" name="Punkt" totalsRowLabel="2.2" dataDxfId="304" totalsRowDxfId="303"/>
    <tableColumn id="2" xr3:uid="{D49E1495-7FF7-48B5-A508-0BA4D68BD3E9}" name="Beskrivelse" totalsRowLabel="Udvendig tømrerarbejde i alt - successiv kalkulation" dataDxfId="302" totalsRowDxfId="301"/>
    <tableColumn id="3" xr3:uid="{20CFC642-D8B7-485B-A458-2214E65FDE0E}" name="Mængde" dataDxfId="300" totalsRowDxfId="299"/>
    <tableColumn id="4" xr3:uid="{20E55D82-9FA0-40D2-B345-969B53B8F457}" name="Enhed" dataDxfId="298" totalsRowDxfId="297"/>
    <tableColumn id="5" xr3:uid="{22F42C8C-5388-4D8A-A430-D69CE00CD04A}" name="a. _x000a_Den absolut mindste enhedspris, der forekommer mulig_x000a_(Optimistisk)" dataDxfId="296" totalsRowDxfId="295"/>
    <tableColumn id="6" xr3:uid="{50A4A75B-FA5A-46D3-8220-AB61898B8FAF}" name="b. _x000a_Den mest sandsynlige enhedspris" dataDxfId="294" totalsRowDxfId="293"/>
    <tableColumn id="7" xr3:uid="{EFEF31AF-DB9B-48E1-A549-E6611853A896}" name="c. _x000a_Den absolut størst tænkelige enhedspris_x000a_(pessimistisk)" dataDxfId="292" totalsRowDxfId="291"/>
    <tableColumn id="8" xr3:uid="{B2891BC1-153D-40AC-90B3-C917B676412E}" name="m._x000a_Den forventede værdi (middelværdi)" totalsRowFunction="sum" dataDxfId="290" totalsRowDxfId="289">
      <calculatedColumnFormula>Tabel_2.2_SK[[#This Row],[Mængde]]*(Tabel_2.2_SK[[#This Row],[a. 
Den absolut mindste enhedspris, der forekommer mulig
(Optimistisk)]]
+3*Tabel_2.2_SK[[#This Row],[b. 
Den mest sandsynlige enhedspris]]
+Tabel_2.2_SK[[#This Row],[c. 
Den absolut størst tænkelige enhedspris
(pessimistisk)]])/5</calculatedColumnFormula>
    </tableColumn>
    <tableColumn id="9" xr3:uid="{CC90527B-B789-4F51-903A-DD3FA6BCF440}" name="s._x000a_spredningen_x000a_(standardafvigelsen)" dataDxfId="288" totalsRowDxfId="287">
      <calculatedColumnFormula>Tabel_2.2_SK[[#This Row],[Mængde]]*(Tabel_2.2_SK[[#This Row],[c. 
Den absolut størst tænkelige enhedspris
(pessimistisk)]]
-Tabel_2.2_SK[[#This Row],[a. 
Den absolut mindste enhedspris, der forekommer mulig
(Optimistisk)]])/5</calculatedColumnFormula>
    </tableColumn>
    <tableColumn id="10" xr3:uid="{9899B481-639F-455B-B76D-10D966834753}" name="v._x000a_varians (s2x10-7)" totalsRowFunction="sum" dataDxfId="286" totalsRowDxfId="285">
      <calculatedColumnFormula>Tabel_2.2_SK[[#This Row],[s.
spredningen
(standardafvigelsen)]]^2*0.000001</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1606DD3-1883-446D-8611-A4CE1DDDF487}" name="Tabel_1.3_SK" displayName="Tabel_1.3_SK" ref="B21:K31" totalsRowCount="1">
  <autoFilter ref="B21:K30" xr:uid="{7B557941-F7CE-4196-AD54-DB789764E9ED}"/>
  <tableColumns count="10">
    <tableColumn id="1" xr3:uid="{0BDDD0D9-694B-410A-AEA5-44E2E8037DBA}" name="Punkt" totalsRowLabel="1.3" dataDxfId="284" totalsRowDxfId="283"/>
    <tableColumn id="2" xr3:uid="{79E15144-4462-4CD9-B4D5-518E4D13B528}" name="Beskrivelse" totalsRowLabel="Gulv i alt - successiv kalkulation" dataDxfId="282" totalsRowDxfId="281"/>
    <tableColumn id="3" xr3:uid="{83D110C4-2B6A-4B52-9E9D-D7374B06F47A}" name="Mængde" dataDxfId="280" totalsRowDxfId="279"/>
    <tableColumn id="4" xr3:uid="{D6C73D3B-0540-4F67-B3D7-F9C86D93EE2F}" name="Enhed" dataDxfId="278" totalsRowDxfId="277"/>
    <tableColumn id="5" xr3:uid="{211123F5-2BA9-4AD3-A46D-AD99835369E4}" name="a. _x000a_Den absolut mindste enhedspris, der forekommer mulig_x000a_(Optimistisk)" dataDxfId="276" totalsRowDxfId="275"/>
    <tableColumn id="6" xr3:uid="{70038034-1AF0-4951-A7A6-01FB04828ED3}" name="b. _x000a_Den mest sandsynlige enhedspris" dataDxfId="274" totalsRowDxfId="273"/>
    <tableColumn id="7" xr3:uid="{227BEAAB-63A5-4F8F-8745-9FB3364A532C}" name="c. _x000a_Den absolut størst tænkelige enhedspris_x000a_(pessimistisk)" dataDxfId="272" totalsRowDxfId="271"/>
    <tableColumn id="8" xr3:uid="{A6F53E1E-E989-42F2-9DAA-D12A20449CC1}" name="m._x000a_Den forventede værdi (middelværdi)" totalsRowFunction="sum" dataDxfId="270" totalsRowDxfId="269">
      <calculatedColumnFormula>Tabel_1.3_SK[[#This Row],[Mængde]]*(Tabel_1.3_SK[[#This Row],[a. 
Den absolut mindste enhedspris, der forekommer mulig
(Optimistisk)]]
+3*Tabel_1.3_SK[[#This Row],[b. 
Den mest sandsynlige enhedspris]]
+Tabel_1.3_SK[[#This Row],[c. 
Den absolut størst tænkelige enhedspris
(pessimistisk)]])/5</calculatedColumnFormula>
    </tableColumn>
    <tableColumn id="9" xr3:uid="{AFC8B889-3501-499E-8430-2FF8010373C9}" name="s._x000a_spredningen_x000a_(standardafvigelsen)" dataDxfId="268" totalsRowDxfId="267">
      <calculatedColumnFormula>Tabel_1.3_SK[[#This Row],[Mængde]]*(Tabel_1.3_SK[[#This Row],[c. 
Den absolut størst tænkelige enhedspris
(pessimistisk)]]
-Tabel_1.3_SK[[#This Row],[a. 
Den absolut mindste enhedspris, der forekommer mulig
(Optimistisk)]])/5</calculatedColumnFormula>
    </tableColumn>
    <tableColumn id="10" xr3:uid="{B2B505B0-0FC1-4F07-9E03-FAF8C8DC63E0}" name="v._x000a_varians (s2x10-7)" totalsRowFunction="sum" dataDxfId="266" totalsRowDxfId="265">
      <calculatedColumnFormula>Tabel_1.3_SK[[#This Row],[s.
spredningen
(standardafvigelsen)]]^2*0.000001</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F00AAC4-F969-4E6D-ABE3-376640749C7C}" name="Tabel_1.3_Molio" displayName="Tabel_1.3_Molio" ref="C9:H13" totalsRowCount="1">
  <autoFilter ref="C9:H12" xr:uid="{4F00AAC4-F969-4E6D-ABE3-376640749C7C}"/>
  <tableColumns count="6">
    <tableColumn id="1" xr3:uid="{A9DC9CA1-830F-4C63-A201-0B07472668B4}" name="Beskrivelse" totalsRowLabel="Gulv i alt - Molio-benchmark"/>
    <tableColumn id="2" xr3:uid="{3D260630-F5A0-4994-81BD-B7E30071FF77}" name="Mængde" dataDxfId="264"/>
    <tableColumn id="3" xr3:uid="{53A70076-B799-4EC9-8F00-7F9374146770}" name="Enhed"/>
    <tableColumn id="4" xr3:uid="{0E686E0A-F90F-4CF6-9011-ED0672D0959C}" name="Pris pr. enhed" dataDxfId="263"/>
    <tableColumn id="5" xr3:uid="{49DDAE5A-9AFE-4EF4-802A-47309EEBD63C}" name="Beregnet budget" totalsRowFunction="sum" dataDxfId="262" totalsRowDxfId="261">
      <calculatedColumnFormula>Tabel_1.3_Molio[[#This Row],[Mængde]]*Tabel_1.3_Molio[[#This Row],[Pris pr. enhed]]</calculatedColumnFormula>
    </tableColumn>
    <tableColumn id="6" xr3:uid="{6AF9D15B-67E7-4B02-9BF2-2C62CF704802}" name="Reference"/>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AEBE60D-831B-4F9F-851B-57C329A9BDA8}" name="Tabel_1.4_SK" displayName="Tabel_1.4_SK" ref="B6:K16" totalsRowCount="1">
  <autoFilter ref="B6:K15" xr:uid="{7B557941-F7CE-4196-AD54-DB789764E9ED}"/>
  <tableColumns count="10">
    <tableColumn id="1" xr3:uid="{2BDAA81F-4614-46E3-8C9A-EE9A49A68292}" name="Punkt" totalsRowLabel="1.4" dataDxfId="260" totalsRowDxfId="259"/>
    <tableColumn id="2" xr3:uid="{A86CE79B-6A8C-4165-9D4D-5B457F5A4B4A}" name="Beskrivelse" totalsRowLabel="Indvendig murerarbejde i alt - successiv kalkulation" dataDxfId="258" totalsRowDxfId="257"/>
    <tableColumn id="3" xr3:uid="{4C00BA82-CED5-4530-BE7C-BB1AA249A747}" name="Mængde" dataDxfId="256" totalsRowDxfId="255"/>
    <tableColumn id="4" xr3:uid="{A4A5A1C2-CF48-4D6C-AB29-C526CBAEAEE6}" name="Enhed" dataDxfId="254" totalsRowDxfId="253"/>
    <tableColumn id="5" xr3:uid="{857A7ED5-3F0D-4F08-8A45-E6758B3C93E0}" name="a. _x000a_Den absolut mindste enhedspris, der forekommer mulig_x000a_(Optimistisk)" dataDxfId="252" totalsRowDxfId="251"/>
    <tableColumn id="6" xr3:uid="{0624949A-B572-4117-8B20-4B49924DAAAB}" name="b. _x000a_Den mest sandsynlige enhedspris" dataDxfId="250" totalsRowDxfId="249"/>
    <tableColumn id="7" xr3:uid="{1E6FF9DB-F6F5-43EA-87B3-AE32C4570066}" name="c. _x000a_Den absolut størst tænkelige enhedspris_x000a_(pessimistisk)" dataDxfId="248" totalsRowDxfId="247"/>
    <tableColumn id="8" xr3:uid="{69DAA9F2-5A0D-4188-A520-29B130CF1F19}" name="m._x000a_Den forventede værdi (middelværdi)" totalsRowFunction="sum" dataDxfId="246" totalsRowDxfId="245">
      <calculatedColumnFormula>Tabel_1.4_SK[[#This Row],[Mængde]]*(Tabel_1.4_SK[[#This Row],[a. 
Den absolut mindste enhedspris, der forekommer mulig
(Optimistisk)]]
+3*Tabel_1.4_SK[[#This Row],[b. 
Den mest sandsynlige enhedspris]]
+Tabel_1.4_SK[[#This Row],[c. 
Den absolut størst tænkelige enhedspris
(pessimistisk)]])/5</calculatedColumnFormula>
    </tableColumn>
    <tableColumn id="9" xr3:uid="{467E74E1-9DDC-4051-A3AE-5DB70A3724A1}" name="s._x000a_spredningen_x000a_(standardafvigelsen)" dataDxfId="244" totalsRowDxfId="243">
      <calculatedColumnFormula>Tabel_1.4_SK[[#This Row],[Mængde]]*(Tabel_1.4_SK[[#This Row],[c. 
Den absolut størst tænkelige enhedspris
(pessimistisk)]]
-Tabel_1.4_SK[[#This Row],[a. 
Den absolut mindste enhedspris, der forekommer mulig
(Optimistisk)]])/5</calculatedColumnFormula>
    </tableColumn>
    <tableColumn id="10" xr3:uid="{E77C3524-27EF-4D8C-BA5F-6449CB4488E1}" name="v._x000a_varians (s2x10-7)" totalsRowFunction="sum" dataDxfId="242" totalsRowDxfId="241">
      <calculatedColumnFormula>Tabel_1.4_SK[[#This Row],[s.
spredningen
(standardafvigelsen)]]^2*0.000001</calculatedColumnFormula>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97421CF-97E6-4576-89EC-92678532D244}" name="Tabel_1.5_SK" displayName="Tabel_1.5_SK" ref="B6:K16" totalsRowCount="1">
  <autoFilter ref="B6:K15" xr:uid="{7B557941-F7CE-4196-AD54-DB789764E9ED}"/>
  <tableColumns count="10">
    <tableColumn id="1" xr3:uid="{9210C693-27D6-4E1D-9C96-56BE4A3C5D17}" name="Punkt" totalsRowLabel="1.5" dataDxfId="240" totalsRowDxfId="239"/>
    <tableColumn id="2" xr3:uid="{FEE93CB2-E895-4E50-860D-BC0606751BC2}" name="Beskrivelse" totalsRowLabel="Indvendig malerarbejde i alt - successiv kalkulation" dataDxfId="238" totalsRowDxfId="237"/>
    <tableColumn id="3" xr3:uid="{B0FF5D76-E175-44F3-AEB2-2E8ED0D36266}" name="Mængde" dataDxfId="236" totalsRowDxfId="235"/>
    <tableColumn id="4" xr3:uid="{718AAF89-1F10-4305-A8C0-5CB93F155252}" name="Enhed" dataDxfId="234" totalsRowDxfId="233"/>
    <tableColumn id="5" xr3:uid="{9F40B548-1500-4529-A1CF-00EE46925785}" name="a. _x000a_Den absolut mindste enhedspris, der forekommer mulig_x000a_(Optimistisk)" dataDxfId="232" totalsRowDxfId="231"/>
    <tableColumn id="6" xr3:uid="{9DAD93FA-368E-4B7D-8934-472F6E3FD5C1}" name="b. _x000a_Den mest sandsynlige enhedspris" dataDxfId="230" totalsRowDxfId="229"/>
    <tableColumn id="7" xr3:uid="{548595DB-46A6-44BB-AFEC-EBF7D23D291B}" name="c. _x000a_Den absolut størst tænkelige enhedspris_x000a_(pessimistisk)" dataDxfId="228" totalsRowDxfId="227"/>
    <tableColumn id="8" xr3:uid="{5784CC42-E004-41EA-A346-ADCC5D5E6A98}" name="m._x000a_Den forventede værdi (middelværdi)" totalsRowFunction="sum" dataDxfId="226" totalsRowDxfId="225">
      <calculatedColumnFormula>Tabel_1.5_SK[[#This Row],[Mængde]]*(Tabel_1.5_SK[[#This Row],[a. 
Den absolut mindste enhedspris, der forekommer mulig
(Optimistisk)]]
+3*Tabel_1.5_SK[[#This Row],[b. 
Den mest sandsynlige enhedspris]]
+Tabel_1.5_SK[[#This Row],[c. 
Den absolut størst tænkelige enhedspris
(pessimistisk)]])/5</calculatedColumnFormula>
    </tableColumn>
    <tableColumn id="9" xr3:uid="{44EFC88D-2749-431F-B567-A411BE060AA8}" name="s._x000a_spredningen_x000a_(standardafvigelsen)" dataDxfId="224" totalsRowDxfId="223">
      <calculatedColumnFormula>Tabel_1.5_SK[[#This Row],[Mængde]]*(Tabel_1.5_SK[[#This Row],[c. 
Den absolut størst tænkelige enhedspris
(pessimistisk)]]
-Tabel_1.5_SK[[#This Row],[a. 
Den absolut mindste enhedspris, der forekommer mulig
(Optimistisk)]])/5</calculatedColumnFormula>
    </tableColumn>
    <tableColumn id="10" xr3:uid="{E01E3999-E44E-4117-AB0E-2A906C9CE892}" name="v._x000a_varians (s2x10-7)" totalsRowFunction="sum" dataDxfId="222" totalsRowDxfId="221">
      <calculatedColumnFormula>Tabel_1.5_SK[[#This Row],[s.
spredningen
(standardafvigelsen)]]^2*0.000001</calculatedColumnFormula>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0CFA9BF-BCE1-462E-AEB9-FD107C47328D}" name="Tabel_1.6_SK" displayName="Tabel_1.6_SK" ref="B21:K31" totalsRowCount="1">
  <autoFilter ref="B21:K30" xr:uid="{7B557941-F7CE-4196-AD54-DB789764E9ED}"/>
  <tableColumns count="10">
    <tableColumn id="1" xr3:uid="{BAF9F7DB-16EA-487E-B5F0-E79F5C84E577}" name="Punkt" totalsRowLabel="1.6" dataDxfId="220" totalsRowDxfId="219"/>
    <tableColumn id="2" xr3:uid="{D5BC55D5-388E-4174-B726-A8D9481CCE57}" name="Beskrivelse" totalsRowLabel="VVS i alt - successiv kalkulation" dataDxfId="218" totalsRowDxfId="217"/>
    <tableColumn id="3" xr3:uid="{EAB7C755-53FA-439E-A412-077EBD4DF894}" name="Mængde" dataDxfId="216" totalsRowDxfId="215"/>
    <tableColumn id="4" xr3:uid="{E3988880-7DFE-4CB6-915A-60F31B69A85F}" name="Enhed" dataDxfId="214" totalsRowDxfId="213"/>
    <tableColumn id="5" xr3:uid="{79E0887E-E374-44E8-980C-35E02EF5DE1F}" name="a. _x000a_Den absolut mindste enhedspris, der forekommer mulig_x000a_(Optimistisk)" dataDxfId="212" totalsRowDxfId="211"/>
    <tableColumn id="6" xr3:uid="{6FFBB88E-91A0-4E69-AA5D-9CF6BC1F49EE}" name="b. _x000a_Den mest sandsynlige enhedspris" dataDxfId="210" totalsRowDxfId="209"/>
    <tableColumn id="7" xr3:uid="{6C017FA1-01E4-4251-A1BA-E8586BC5CD06}" name="c. _x000a_Den absolut størst tænkelige enhedspris_x000a_(pessimistisk)" dataDxfId="208" totalsRowDxfId="207"/>
    <tableColumn id="8" xr3:uid="{60F813FB-322E-46A5-BC19-B2414C802024}" name="m._x000a_Den forventede værdi (middelværdi)" totalsRowFunction="sum" dataDxfId="206" totalsRowDxfId="205">
      <calculatedColumnFormula>Tabel_1.6_SK[[#This Row],[Mængde]]*(Tabel_1.6_SK[[#This Row],[a. 
Den absolut mindste enhedspris, der forekommer mulig
(Optimistisk)]]
+3*Tabel_1.6_SK[[#This Row],[b. 
Den mest sandsynlige enhedspris]]
+Tabel_1.6_SK[[#This Row],[c. 
Den absolut størst tænkelige enhedspris
(pessimistisk)]])/5</calculatedColumnFormula>
    </tableColumn>
    <tableColumn id="9" xr3:uid="{5734E182-674D-4E54-974F-4A3B1BDAD092}" name="s._x000a_spredningen_x000a_(standardafvigelsen)" dataDxfId="204" totalsRowDxfId="203">
      <calculatedColumnFormula>Tabel_1.6_SK[[#This Row],[Mængde]]*(Tabel_1.6_SK[[#This Row],[c. 
Den absolut størst tænkelige enhedspris
(pessimistisk)]]
-Tabel_1.6_SK[[#This Row],[a. 
Den absolut mindste enhedspris, der forekommer mulig
(Optimistisk)]])/5</calculatedColumnFormula>
    </tableColumn>
    <tableColumn id="10" xr3:uid="{8793E13C-0F0F-4350-99EE-2F7991102E7D}" name="v._x000a_varians (s2x10-7)" totalsRowFunction="sum" dataDxfId="202" totalsRowDxfId="201">
      <calculatedColumnFormula>Tabel_1.6_SK[[#This Row],[s.
spredningen
(standardafvigelsen)]]^2*0.000001</calculatedColumnFormula>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A5FC8C5-F574-4BE0-BB10-315805BCD3E6}" name="Tabel_1.6_Molio" displayName="Tabel_1.6_Molio" ref="C9:H13" totalsRowCount="1">
  <autoFilter ref="C9:H12" xr:uid="{4F00AAC4-F969-4E6D-ABE3-376640749C7C}"/>
  <tableColumns count="6">
    <tableColumn id="1" xr3:uid="{C23340BB-EFAB-4BD1-B275-9689E0A04590}" name="Beskrivelse" totalsRowLabel="VVS i alt - Molio-benchmark"/>
    <tableColumn id="2" xr3:uid="{560C074E-EF2E-40F2-8633-B9DE941AD680}" name="Mængde" dataDxfId="200"/>
    <tableColumn id="3" xr3:uid="{96C386EA-714B-4F85-8B2F-3F7A0A0A9932}" name="Enhed"/>
    <tableColumn id="4" xr3:uid="{3FAAEAD7-E0A2-472D-9334-5118974382B1}" name="Pris pr. enhed" dataDxfId="199"/>
    <tableColumn id="5" xr3:uid="{BD55D90D-77B2-419D-A649-5E768FDDCFC5}" name="Beregnet budget" totalsRowFunction="sum" dataDxfId="198" totalsRowDxfId="197">
      <calculatedColumnFormula>Tabel_1.6_Molio[[#This Row],[Mængde]]*Tabel_1.6_Molio[[#This Row],[Pris pr. enhed]]</calculatedColumnFormula>
    </tableColumn>
    <tableColumn id="6" xr3:uid="{D697D6C7-A267-46EC-BA85-5C234EACDF1B}" name="Reference"/>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4510C5B-4FE7-4D4E-99F3-F06ED395BF99}" name="Tabel_1.7_SK" displayName="Tabel_1.7_SK" ref="B22:K32" totalsRowCount="1">
  <autoFilter ref="B22:K31" xr:uid="{7B557941-F7CE-4196-AD54-DB789764E9ED}"/>
  <tableColumns count="10">
    <tableColumn id="1" xr3:uid="{A4C4433E-608F-4CB7-927E-FE11FD8F7403}" name="Punkt" totalsRowLabel="1.7" dataDxfId="196" totalsRowDxfId="195"/>
    <tableColumn id="2" xr3:uid="{3274D019-ABFD-424C-8262-3E9BD90855D8}" name="Beskrivelse" totalsRowLabel="Ventilation i alt - successiv kalkulation" dataDxfId="194" totalsRowDxfId="193"/>
    <tableColumn id="3" xr3:uid="{0134880F-D51D-4EB2-81CA-8CAA913F854F}" name="Mængde" dataDxfId="192" totalsRowDxfId="191"/>
    <tableColumn id="4" xr3:uid="{4592279D-425C-4885-9EAB-C00142C3AAA6}" name="Enhed" dataDxfId="190" totalsRowDxfId="189"/>
    <tableColumn id="5" xr3:uid="{43A29BF0-ACEE-421A-B042-CB878E31AF80}" name="a. _x000a_Den absolut mindste enhedspris, der forekommer mulig_x000a_(Optimistisk)" dataDxfId="188" totalsRowDxfId="187"/>
    <tableColumn id="6" xr3:uid="{BDACB23C-B373-4EAD-B37A-D4174CCED0CD}" name="b. _x000a_Den mest sandsynlige enhedspris" dataDxfId="186" totalsRowDxfId="185"/>
    <tableColumn id="7" xr3:uid="{6F205361-4C6B-427B-95E2-CDE5716D3CAB}" name="c. _x000a_Den absolut størst tænkelige enhedspris_x000a_(pessimistisk)" dataDxfId="184" totalsRowDxfId="183"/>
    <tableColumn id="8" xr3:uid="{E79B097A-BDBD-473F-9FD2-20DA0844CAD8}" name="m._x000a_Den forventede værdi (middelværdi)" totalsRowFunction="sum" dataDxfId="182" totalsRowDxfId="181">
      <calculatedColumnFormula>Tabel_1.7_SK[[#This Row],[Mængde]]*(Tabel_1.7_SK[[#This Row],[a. 
Den absolut mindste enhedspris, der forekommer mulig
(Optimistisk)]]
+3*Tabel_1.7_SK[[#This Row],[b. 
Den mest sandsynlige enhedspris]]
+Tabel_1.7_SK[[#This Row],[c. 
Den absolut størst tænkelige enhedspris
(pessimistisk)]])/5</calculatedColumnFormula>
    </tableColumn>
    <tableColumn id="9" xr3:uid="{2090F5AB-5697-4F9C-A10A-60C90B011AEF}" name="s._x000a_spredningen_x000a_(standardafvigelsen)" dataDxfId="180" totalsRowDxfId="179">
      <calculatedColumnFormula>Tabel_1.7_SK[[#This Row],[Mængde]]*(Tabel_1.7_SK[[#This Row],[c. 
Den absolut størst tænkelige enhedspris
(pessimistisk)]]
-Tabel_1.7_SK[[#This Row],[a. 
Den absolut mindste enhedspris, der forekommer mulig
(Optimistisk)]])/5</calculatedColumnFormula>
    </tableColumn>
    <tableColumn id="10" xr3:uid="{90F21B01-57AF-4632-8951-6E9E05BCD44A}" name="v._x000a_varians (s2x10-7)" totalsRowFunction="sum" dataDxfId="178" totalsRowDxfId="177">
      <calculatedColumnFormula>Tabel_1.7_SK[[#This Row],[s.
spredningen
(standardafvigelsen)]]^2*0.000001</calculatedColumnFormula>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9D33F56-98CC-4F94-9C93-BF50C616B6CC}" name="Tabel_1.7_Molio" displayName="Tabel_1.7_Molio" ref="C9:H14" totalsRowCount="1">
  <autoFilter ref="C9:H13" xr:uid="{4F00AAC4-F969-4E6D-ABE3-376640749C7C}"/>
  <tableColumns count="6">
    <tableColumn id="1" xr3:uid="{54937946-0F1B-4240-95DF-09C451CFDBFA}" name="Beskrivelse" totalsRowLabel="Ventilation i alt - Molio-benchmark"/>
    <tableColumn id="2" xr3:uid="{2A50FC21-EBFD-4A52-8CD4-093642D070AA}" name="Mængde" dataDxfId="176"/>
    <tableColumn id="3" xr3:uid="{83CF595C-94A0-4834-9E9C-C040D3FF42B6}" name="Enhed"/>
    <tableColumn id="4" xr3:uid="{A8826792-1F1D-4B5C-9AB7-6899044682A2}" name="Pris pr. enhed" dataDxfId="175"/>
    <tableColumn id="5" xr3:uid="{99123A49-E7B0-4AE6-BA59-99EA0A40464C}" name="Beregnet budget" totalsRowFunction="sum" dataDxfId="174" totalsRowDxfId="173">
      <calculatedColumnFormula>Tabel_1.7_Molio[[#This Row],[Mængde]]*Tabel_1.7_Molio[[#This Row],[Pris pr. enhed]]</calculatedColumnFormula>
    </tableColumn>
    <tableColumn id="6" xr3:uid="{7A1C0C9E-CAE9-4B00-BA36-CD075B347D6B}" name="Reference"/>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3E67879-2CAA-45F2-887D-0E8FCAFA556D}" name="Tabel_1.8_SK" displayName="Tabel_1.8_SK" ref="B20:K30" totalsRowCount="1">
  <autoFilter ref="B20:K29" xr:uid="{7B557941-F7CE-4196-AD54-DB789764E9ED}"/>
  <tableColumns count="10">
    <tableColumn id="1" xr3:uid="{0B3966A6-74DF-4B15-AAF4-EA10BC5D033C}" name="Punkt" totalsRowLabel="1.8" dataDxfId="172" totalsRowDxfId="171"/>
    <tableColumn id="2" xr3:uid="{6A82112F-ABB7-4D14-A554-2BFEA1E4139A}" name="Beskrivelse" totalsRowLabel="Stærkstrøm i alt - successiv kalkulation" dataDxfId="170" totalsRowDxfId="169"/>
    <tableColumn id="3" xr3:uid="{F0BAF89E-152A-4D09-A2FD-2058DE2CEA85}" name="Mængde" dataDxfId="168" totalsRowDxfId="167"/>
    <tableColumn id="4" xr3:uid="{3938963D-F100-4560-A7AC-89C05258E090}" name="Enhed" dataDxfId="166" totalsRowDxfId="165"/>
    <tableColumn id="5" xr3:uid="{F6A18B51-B3BE-459C-B78E-C124B1244E26}" name="a. _x000a_Den absolut mindste enhedspris, der forekommer mulig_x000a_(Optimistisk)" dataDxfId="164" totalsRowDxfId="163"/>
    <tableColumn id="6" xr3:uid="{D388B5C1-603B-45D4-ACDC-5CE9830C0D9D}" name="b. _x000a_Den mest sandsynlige enhedspris" dataDxfId="162" totalsRowDxfId="161"/>
    <tableColumn id="7" xr3:uid="{37B46B68-0541-44DC-A83A-BD6C92A2CD7C}" name="c. _x000a_Den absolut størst tænkelige enhedspris_x000a_(pessimistisk)" dataDxfId="160" totalsRowDxfId="159"/>
    <tableColumn id="8" xr3:uid="{BCA5B0E4-9962-46BF-B0D8-5D4178DAAA3E}" name="m._x000a_Den forventede værdi (middelværdi)" totalsRowFunction="sum" dataDxfId="158" totalsRowDxfId="157">
      <calculatedColumnFormula>Tabel_1.8_SK[[#This Row],[Mængde]]*(Tabel_1.8_SK[[#This Row],[a. 
Den absolut mindste enhedspris, der forekommer mulig
(Optimistisk)]]
+3*Tabel_1.8_SK[[#This Row],[b. 
Den mest sandsynlige enhedspris]]
+Tabel_1.8_SK[[#This Row],[c. 
Den absolut størst tænkelige enhedspris
(pessimistisk)]])/5</calculatedColumnFormula>
    </tableColumn>
    <tableColumn id="9" xr3:uid="{B3458263-CAE4-4BE9-8C99-EE64DD0267BE}" name="s._x000a_spredningen_x000a_(standardafvigelsen)" dataDxfId="156" totalsRowDxfId="155">
      <calculatedColumnFormula>Tabel_1.8_SK[[#This Row],[Mængde]]*(Tabel_1.8_SK[[#This Row],[c. 
Den absolut størst tænkelige enhedspris
(pessimistisk)]]
-Tabel_1.8_SK[[#This Row],[a. 
Den absolut mindste enhedspris, der forekommer mulig
(Optimistisk)]])/5</calculatedColumnFormula>
    </tableColumn>
    <tableColumn id="10" xr3:uid="{1720C4C5-B1B2-4767-81C8-C8E9D9CDC678}" name="v._x000a_varians (s2x10-7)" totalsRowFunction="sum" dataDxfId="154" totalsRowDxfId="153">
      <calculatedColumnFormula>Tabel_1.8_SK[[#This Row],[s.
spredningen
(standardafvigelsen)]]^2*0.000001</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BC8DADE-47AB-437F-BA65-88B5014D44A4}" name="Tabel_Stamdata14" displayName="Tabel_Stamdata14" ref="K16:L26" totalsRowShown="0">
  <autoFilter ref="K16:L26" xr:uid="{7680718C-C294-442A-8AFB-98DA983A16B6}"/>
  <tableColumns count="2">
    <tableColumn id="1" xr3:uid="{A48896DC-AA4E-4AC9-8ACC-975C3D5484BD}" name="Felt" dataDxfId="378">
      <calculatedColumnFormula>B17</calculatedColumnFormula>
    </tableColumn>
    <tableColumn id="2" xr3:uid="{7675C65C-1045-4621-8ED6-CA2B9761A7B1}" name="Værdi" dataDxfId="377">
      <calculatedColumnFormula>C17</calculatedColumnFormula>
    </tableColumn>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6477F46-F838-4631-A9E6-B5D1CE5A2DD2}" name="Tabel_1.8_Molio" displayName="Tabel_1.8_Molio" ref="C9:H12" totalsRowCount="1">
  <autoFilter ref="C9:H11" xr:uid="{4F00AAC4-F969-4E6D-ABE3-376640749C7C}"/>
  <tableColumns count="6">
    <tableColumn id="1" xr3:uid="{7AF4E763-E0E9-454C-B13E-593FCAB2E004}" name="Beskrivelse" totalsRowLabel="Stærkstrøm i alt - Molio-benchmark"/>
    <tableColumn id="2" xr3:uid="{93911E02-FA81-4AF3-A74F-12F06E3E388A}" name="Mængde" dataDxfId="152"/>
    <tableColumn id="3" xr3:uid="{2E2D1421-2346-44B2-B24C-7AE53725B0F5}" name="Enhed"/>
    <tableColumn id="4" xr3:uid="{8633F1FD-FC67-4928-A079-DF23DA63378A}" name="Pris pr. enhed" dataDxfId="151"/>
    <tableColumn id="5" xr3:uid="{19FDFEEB-4780-4626-A7CB-22B2C704EB9C}" name="Beregnet budget" totalsRowFunction="sum" dataDxfId="150" totalsRowDxfId="149">
      <calculatedColumnFormula>Tabel_1.8_Molio[[#This Row],[Mængde]]*Tabel_1.8_Molio[[#This Row],[Pris pr. enhed]]</calculatedColumnFormula>
    </tableColumn>
    <tableColumn id="6" xr3:uid="{008F7AC8-CF9A-4559-8C25-788A78432548}" name="Reference"/>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1B0AD91-BDD3-477D-8590-3817467AF52A}" name="Tabel_1.9_SK" displayName="Tabel_1.9_SK" ref="B53:K65" totalsRowCount="1">
  <autoFilter ref="B53:K64" xr:uid="{7B557941-F7CE-4196-AD54-DB789764E9ED}"/>
  <tableColumns count="10">
    <tableColumn id="1" xr3:uid="{38EC0548-6F64-4058-B0E7-F9E56A5FDD3D}" name="Punkt" totalsRowLabel="1.9" dataDxfId="148" totalsRowDxfId="147"/>
    <tableColumn id="2" xr3:uid="{1BEC9CC3-E479-4CB5-97D1-B52F7E94A7AD}" name="Beskrivelse" totalsRowLabel="Svagstrøm i alt - successiv kalkulation" dataDxfId="146" totalsRowDxfId="145"/>
    <tableColumn id="3" xr3:uid="{47F45393-384B-4B94-9689-36894524AEED}" name="Mængde" dataDxfId="144" totalsRowDxfId="143"/>
    <tableColumn id="4" xr3:uid="{947B9A69-3969-4D06-88D5-36CE7FFB6C48}" name="Enhed" dataDxfId="142" totalsRowDxfId="141"/>
    <tableColumn id="5" xr3:uid="{F5AD863F-1CF5-4240-ABCB-FB6138CD3EA9}" name="a. _x000a_Den absolut mindste enhedspris, der forekommer mulig_x000a_(Optimistisk)" dataDxfId="140" totalsRowDxfId="139"/>
    <tableColumn id="6" xr3:uid="{2F7D5E05-C0BE-43E8-AE03-DD900C35712C}" name="b. _x000a_Den mest sandsynlige enhedspris" dataDxfId="138" totalsRowDxfId="137"/>
    <tableColumn id="7" xr3:uid="{B7642A06-44CF-4E20-AE9E-0B10FEBA213E}" name="c. _x000a_Den absolut størst tænkelige enhedspris_x000a_(pessimistisk)" dataDxfId="136" totalsRowDxfId="135"/>
    <tableColumn id="8" xr3:uid="{2F8E0E0E-D38B-4033-A619-B3E391234E75}" name="m._x000a_Den forventede værdi (middelværdi)" totalsRowFunction="sum" dataDxfId="134" totalsRowDxfId="133">
      <calculatedColumnFormula>Tabel_1.9_SK[[#This Row],[Mængde]]*(Tabel_1.9_SK[[#This Row],[a. 
Den absolut mindste enhedspris, der forekommer mulig
(Optimistisk)]]
+3*Tabel_1.9_SK[[#This Row],[b. 
Den mest sandsynlige enhedspris]]
+Tabel_1.9_SK[[#This Row],[c. 
Den absolut størst tænkelige enhedspris
(pessimistisk)]])/5</calculatedColumnFormula>
    </tableColumn>
    <tableColumn id="9" xr3:uid="{60AC391F-C7FF-4607-8A74-B9501B3E9B8F}" name="s._x000a_spredningen_x000a_(standardafvigelsen)" dataDxfId="132" totalsRowDxfId="131">
      <calculatedColumnFormula>Tabel_1.9_SK[[#This Row],[Mængde]]*(Tabel_1.9_SK[[#This Row],[c. 
Den absolut størst tænkelige enhedspris
(pessimistisk)]]
-Tabel_1.9_SK[[#This Row],[a. 
Den absolut mindste enhedspris, der forekommer mulig
(Optimistisk)]])/5</calculatedColumnFormula>
    </tableColumn>
    <tableColumn id="10" xr3:uid="{1E9E7DA3-1DAA-4096-A88C-C5E56FA6BC9F}" name="v._x000a_varians (s2x10-7)" totalsRowFunction="sum" dataDxfId="130" totalsRowDxfId="129">
      <calculatedColumnFormula>Tabel_1.9_SK[[#This Row],[s.
spredningen
(standardafvigelsen)]]^2*0.000001</calculatedColumnFormula>
    </tableColumn>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31FD0A4-515D-4E57-AC20-157F86D39D32}" name="Tabel_1.9_Molio" displayName="Tabel_1.9_Molio" ref="C42:H45" totalsRowCount="1">
  <autoFilter ref="C42:H44" xr:uid="{4F00AAC4-F969-4E6D-ABE3-376640749C7C}"/>
  <tableColumns count="6">
    <tableColumn id="1" xr3:uid="{40182AC3-9CCD-43E6-A931-4B5DA391F172}" name="Beskrivelse" totalsRowLabel="Svagstrøm i alt - Molio-benchmark"/>
    <tableColumn id="2" xr3:uid="{65668C57-B97C-4376-B123-76789AE0EC97}" name="Mængde" dataDxfId="128"/>
    <tableColumn id="3" xr3:uid="{1AC9A757-8841-4B8A-8408-758E0ED27C3D}" name="Enhed"/>
    <tableColumn id="4" xr3:uid="{CE4F91D2-7965-4387-8BF7-E258187F6D05}" name="Pris pr. enhed" dataDxfId="127"/>
    <tableColumn id="5" xr3:uid="{1639FEB9-37CB-4AAE-80CC-670828C23BD7}" name="Beregnet budget" totalsRowFunction="sum" dataDxfId="126" totalsRowDxfId="125">
      <calculatedColumnFormula>Tabel_1.9_Molio[[#This Row],[Mængde]]*Tabel_1.9_Molio[[#This Row],[Pris pr. enhed]]</calculatedColumnFormula>
    </tableColumn>
    <tableColumn id="6" xr3:uid="{05F1E37C-36E7-447A-AFE5-B4781CC1D293}" name="Reference"/>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B78058D-08F8-4506-9665-29DECE92A558}" name="Tabel_1.10_SK" displayName="Tabel_1.10_SK" ref="B89:K107" totalsRowCount="1">
  <autoFilter ref="B89:K106" xr:uid="{7B557941-F7CE-4196-AD54-DB789764E9ED}"/>
  <tableColumns count="10">
    <tableColumn id="1" xr3:uid="{0A825194-1F9A-4D3E-B465-06A131DC63E4}" name="Punkt" totalsRowLabel="1.10" dataDxfId="124" totalsRowDxfId="123"/>
    <tableColumn id="2" xr3:uid="{ED6A7D3C-4FB3-4908-A182-925E2CE99763}" name="Beskrivelse" totalsRowLabel="Særinstallationer i alt - successiv kalkulation" dataDxfId="122" totalsRowDxfId="121"/>
    <tableColumn id="3" xr3:uid="{B25D374E-F12B-4569-8227-53582D497F94}" name="Mængde" dataDxfId="120" totalsRowDxfId="119"/>
    <tableColumn id="4" xr3:uid="{69F8B604-575C-43D9-A7A3-B8E78E3EF557}" name="Enhed" dataDxfId="118" totalsRowDxfId="117"/>
    <tableColumn id="5" xr3:uid="{CD6CE3A2-F5C8-4818-A64C-C52E25485296}" name="a. _x000a_Den absolut mindste enhedspris, der forekommer mulig_x000a_(Optimistisk)" dataDxfId="116" totalsRowDxfId="115"/>
    <tableColumn id="6" xr3:uid="{EA4F11C5-AD72-4B2F-AF01-BC6331A7EC91}" name="b. _x000a_Den mest sandsynlige enhedspris" dataDxfId="114" totalsRowDxfId="113"/>
    <tableColumn id="7" xr3:uid="{C778A45C-3032-43A1-958F-C7662426D705}" name="c. _x000a_Den absolut størst tænkelige enhedspris_x000a_(pessimistisk)" dataDxfId="112" totalsRowDxfId="111"/>
    <tableColumn id="8" xr3:uid="{E9A9D251-4DBE-4F4E-B278-1A155B9A6D0A}" name="m._x000a_Den forventede værdi (middelværdi)" totalsRowFunction="sum" dataDxfId="110" totalsRowDxfId="109">
      <calculatedColumnFormula>Tabel_1.10_SK[[#This Row],[Mængde]]*(Tabel_1.10_SK[[#This Row],[a. 
Den absolut mindste enhedspris, der forekommer mulig
(Optimistisk)]]
+3*Tabel_1.10_SK[[#This Row],[b. 
Den mest sandsynlige enhedspris]]
+Tabel_1.10_SK[[#This Row],[c. 
Den absolut størst tænkelige enhedspris
(pessimistisk)]])/5</calculatedColumnFormula>
    </tableColumn>
    <tableColumn id="9" xr3:uid="{130814FD-0396-4EBD-8F14-29842EA5573E}" name="s._x000a_spredningen_x000a_(standardafvigelsen)" dataDxfId="108" totalsRowDxfId="107">
      <calculatedColumnFormula>Tabel_1.10_SK[[#This Row],[Mængde]]*(Tabel_1.10_SK[[#This Row],[c. 
Den absolut størst tænkelige enhedspris
(pessimistisk)]]
-Tabel_1.10_SK[[#This Row],[a. 
Den absolut mindste enhedspris, der forekommer mulig
(Optimistisk)]])/5</calculatedColumnFormula>
    </tableColumn>
    <tableColumn id="10" xr3:uid="{E06A95A3-8AED-47DA-A41C-8F0B466544F7}" name="v._x000a_varians (s2x10-7)" totalsRowFunction="sum" dataDxfId="106" totalsRowDxfId="105">
      <calculatedColumnFormula>Tabel_1.10_SK[[#This Row],[s.
spredningen
(standardafvigelsen)]]^2*0.000001</calculatedColumnFormula>
    </tableColumn>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F1CD548-F045-4D96-9942-3A2590E833AE}" name="Tabel_1.10_Molio" displayName="Tabel_1.10_Molio" ref="C77:H81" totalsRowCount="1">
  <autoFilter ref="C77:H80" xr:uid="{4F00AAC4-F969-4E6D-ABE3-376640749C7C}"/>
  <tableColumns count="6">
    <tableColumn id="1" xr3:uid="{1CD2FD6F-4D51-4AA2-B82A-1B6DF9B55BCD}" name="Beskrivelse" totalsRowLabel="BMS i alt - Molio-benchmark"/>
    <tableColumn id="2" xr3:uid="{7BE6263E-69F5-471C-9A03-6A772B01D4F0}" name="Mængde" dataDxfId="104"/>
    <tableColumn id="3" xr3:uid="{83CF7E5C-CACD-4734-8FDA-E4F3916FF8B0}" name="Enhed"/>
    <tableColumn id="4" xr3:uid="{BD4DAC91-E833-4E8B-A2D1-E14DBD4557BC}" name="Pris pr. enhed" dataDxfId="103"/>
    <tableColumn id="5" xr3:uid="{D44D82AF-B7A5-4D9F-8742-6C82807D5294}" name="Beregnet budget" totalsRowFunction="sum" dataDxfId="102" totalsRowDxfId="101">
      <calculatedColumnFormula>Tabel_1.10_Molio[[#This Row],[Mængde]]*Tabel_1.10_Molio[[#This Row],[Pris pr. enhed]]</calculatedColumnFormula>
    </tableColumn>
    <tableColumn id="6" xr3:uid="{3A7708C7-5FFC-481E-AE5C-4ED4346FE5CB}" name="Reference"/>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921D475-27CE-4912-B4E3-F95F804ABAAA}" name="Tabel_2.3_SK" displayName="Tabel_2.3_SK" ref="B6:K16" totalsRowCount="1">
  <autoFilter ref="B6:K15" xr:uid="{7B557941-F7CE-4196-AD54-DB789764E9ED}"/>
  <tableColumns count="10">
    <tableColumn id="1" xr3:uid="{7BC54C88-2FC0-4B3A-BCE8-3A9BF0E8B8F8}" name="Punkt" totalsRowLabel="2.3" dataDxfId="100" totalsRowDxfId="99"/>
    <tableColumn id="2" xr3:uid="{F2254397-0C77-49DD-BE46-CFBE45F3EE73}" name="Beskrivelse" totalsRowLabel="Anlægsarbejde i jord i alt - successiv kalkulation" dataDxfId="98" totalsRowDxfId="97"/>
    <tableColumn id="3" xr3:uid="{AB3DFCA4-74AA-4E91-80C4-E5858B52EC59}" name="Mængde" dataDxfId="96" totalsRowDxfId="95"/>
    <tableColumn id="4" xr3:uid="{C8BD46DA-DC90-4F08-AB2B-58F1299B46C8}" name="Enhed" dataDxfId="94" totalsRowDxfId="93"/>
    <tableColumn id="5" xr3:uid="{350F60B2-8AAA-4A1E-841E-49F305719639}" name="a. _x000a_Den absolut mindste enhedspris, der forekommer mulig_x000a_(Optimistisk)" dataDxfId="92" totalsRowDxfId="91"/>
    <tableColumn id="6" xr3:uid="{B1E67AE9-F9AC-4E66-A983-515F551CD0D9}" name="b. _x000a_Den mest sandsynlige enhedspris" dataDxfId="90" totalsRowDxfId="89"/>
    <tableColumn id="7" xr3:uid="{4F29063D-EB4E-4D2C-B2E1-20F6A924ACF6}" name="c. _x000a_Den absolut størst tænkelige enhedspris_x000a_(pessimistisk)" dataDxfId="88" totalsRowDxfId="87"/>
    <tableColumn id="8" xr3:uid="{B0C611FF-7953-4273-8FC7-538FCD7B8EA6}" name="m._x000a_Den forventede værdi (middelværdi)" totalsRowFunction="sum" dataDxfId="86" totalsRowDxfId="85">
      <calculatedColumnFormula>Tabel_2.3_SK[[#This Row],[Mængde]]*(Tabel_2.3_SK[[#This Row],[a. 
Den absolut mindste enhedspris, der forekommer mulig
(Optimistisk)]]
+3*Tabel_2.3_SK[[#This Row],[b. 
Den mest sandsynlige enhedspris]]
+Tabel_2.3_SK[[#This Row],[c. 
Den absolut størst tænkelige enhedspris
(pessimistisk)]])/5</calculatedColumnFormula>
    </tableColumn>
    <tableColumn id="9" xr3:uid="{72CAC83A-E877-4E4D-82F8-5A17AF3C37EE}" name="s._x000a_spredningen_x000a_(standardafvigelsen)" dataDxfId="84" totalsRowDxfId="83">
      <calculatedColumnFormula>Tabel_2.3_SK[[#This Row],[Mængde]]*(Tabel_2.3_SK[[#This Row],[c. 
Den absolut størst tænkelige enhedspris
(pessimistisk)]]
-Tabel_2.3_SK[[#This Row],[a. 
Den absolut mindste enhedspris, der forekommer mulig
(Optimistisk)]])/5</calculatedColumnFormula>
    </tableColumn>
    <tableColumn id="10" xr3:uid="{06583EB8-02D0-4F7A-AED2-C03E51B01516}" name="v._x000a_varians (s2x10-7)" totalsRowFunction="sum" dataDxfId="82" totalsRowDxfId="81">
      <calculatedColumnFormula>Tabel_2.3_SK[[#This Row],[s.
spredningen
(standardafvigelsen)]]^2*0.000001</calculatedColumnFormula>
    </tableColumn>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99C4434-8450-4434-ACD1-C91229DD58BC}" name="Tabel_4.1_SK" displayName="Tabel_4.1_SK" ref="B6:K20" totalsRowCount="1">
  <autoFilter ref="B6:K19" xr:uid="{7B557941-F7CE-4196-AD54-DB789764E9ED}"/>
  <tableColumns count="10">
    <tableColumn id="1" xr3:uid="{DAC252C3-0EB4-4005-85FE-D0C094684456}" name="Punkt" totalsRowLabel="4.1" dataDxfId="80" totalsRowDxfId="79"/>
    <tableColumn id="2" xr3:uid="{C8E9A70D-E012-4509-B25A-9120793C212D}" name="Beskrivelse" totalsRowLabel="Løst inventar i alt - successiv kalkulation" dataDxfId="78" totalsRowDxfId="77"/>
    <tableColumn id="3" xr3:uid="{ABC24AED-B6B6-4C4D-9FE5-FE69507FFC13}" name="Mængde" dataDxfId="76" totalsRowDxfId="75"/>
    <tableColumn id="4" xr3:uid="{FA2705AF-4B0C-4DA9-8C33-33809A61E4A2}" name="Enhed" dataDxfId="74" totalsRowDxfId="73"/>
    <tableColumn id="5" xr3:uid="{75EE0D38-4309-4F58-A7D7-1E00914C0C32}" name="a. _x000a_Den absolut mindste enhedspris, der forekommer mulig_x000a_(Optimistisk)" dataDxfId="72" totalsRowDxfId="71"/>
    <tableColumn id="6" xr3:uid="{A81556E2-B518-4A24-83D1-D329F0A5B095}" name="b. _x000a_Den mest sandsynlige enhedspris" dataDxfId="70" totalsRowDxfId="69"/>
    <tableColumn id="7" xr3:uid="{4DECAC38-685F-4B23-A995-1719AAC1701B}" name="c. _x000a_Den absolut størst tænkelige enhedspris_x000a_(pessimistisk)" dataDxfId="68" totalsRowDxfId="67"/>
    <tableColumn id="8" xr3:uid="{3C92E474-A50F-4BE9-8B65-F783EC49035E}" name="m._x000a_Den forventede værdi (middelværdi)" totalsRowFunction="sum" dataDxfId="66" totalsRowDxfId="65">
      <calculatedColumnFormula>Tabel_4.1_SK[[#This Row],[Mængde]]*(Tabel_4.1_SK[[#This Row],[a. 
Den absolut mindste enhedspris, der forekommer mulig
(Optimistisk)]]
+3*Tabel_4.1_SK[[#This Row],[b. 
Den mest sandsynlige enhedspris]]
+Tabel_4.1_SK[[#This Row],[c. 
Den absolut størst tænkelige enhedspris
(pessimistisk)]])/5</calculatedColumnFormula>
    </tableColumn>
    <tableColumn id="9" xr3:uid="{6F41522B-8753-426D-A59C-69955FB2A266}" name="s._x000a_spredningen_x000a_(standardafvigelsen)" dataDxfId="64" totalsRowDxfId="63">
      <calculatedColumnFormula>Tabel_4.1_SK[[#This Row],[Mængde]]*(Tabel_4.1_SK[[#This Row],[c. 
Den absolut størst tænkelige enhedspris
(pessimistisk)]]
-Tabel_4.1_SK[[#This Row],[a. 
Den absolut mindste enhedspris, der forekommer mulig
(Optimistisk)]])/5</calculatedColumnFormula>
    </tableColumn>
    <tableColumn id="10" xr3:uid="{CB10E489-F219-4BE6-9582-EE266A92D7AC}" name="v._x000a_varians (s2x10-7)" totalsRowFunction="sum" dataDxfId="62" totalsRowDxfId="61">
      <calculatedColumnFormula>Tabel_4.1_SK[[#This Row],[s.
spredningen
(standardafvigelsen)]]^2*0.000001</calculatedColumnFormula>
    </tableColumn>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5519556-B202-41E1-827B-401EBA5E9201}" name="Tabel_4.2_SK" displayName="Tabel_4.2_SK" ref="B28:K39" totalsRowCount="1" dataDxfId="60">
  <autoFilter ref="B28:K38" xr:uid="{F61E808D-A407-4B24-9E4F-53BE836DDF90}"/>
  <tableColumns count="10">
    <tableColumn id="1" xr3:uid="{A17C0882-FA24-4E22-8AF5-BC840F37674A}" name="Punkt" totalsRowLabel="4.2" dataDxfId="59" totalsRowDxfId="58"/>
    <tableColumn id="2" xr3:uid="{B57C7D88-0ED4-4958-AB8B-B32DA54AEFF7}" name="Beskrivelse" totalsRowLabel="Fast inventar i alt - successiv kalkulation" dataDxfId="57" totalsRowDxfId="56"/>
    <tableColumn id="3" xr3:uid="{7B6BDBA7-7FF3-4DBF-97EC-A95E552434F0}" name="Mængde" dataDxfId="55" totalsRowDxfId="54"/>
    <tableColumn id="4" xr3:uid="{B9E65068-0336-4EBC-975D-F487B00F5171}" name="Enhed" dataDxfId="53" totalsRowDxfId="52"/>
    <tableColumn id="5" xr3:uid="{440AB41A-D60F-4A8E-9A8E-540D9933E3C3}" name="a. _x000a_Den absolut mindste enhedspris, der forekommer mulig_x000a_(Optimistisk)" dataDxfId="51" totalsRowDxfId="50"/>
    <tableColumn id="6" xr3:uid="{8D5FFC71-DC0A-4FB8-9E10-FFDE5ABE1F3E}" name="b. _x000a_Den mest sandsynlige enhedspris" dataDxfId="49" totalsRowDxfId="48"/>
    <tableColumn id="7" xr3:uid="{ECF57C34-C5D3-4E67-825D-6D9622D269EC}" name="c. _x000a_Den absolut størst tænkelige enhedspris_x000a_(pessimistisk)" dataDxfId="47" totalsRowDxfId="46"/>
    <tableColumn id="8" xr3:uid="{86BBE1D7-3A8F-48BC-9DAE-1504F3D04109}" name="m._x000a_Den forventede værdi (middelværdi)" totalsRowFunction="sum" dataDxfId="45" totalsRowDxfId="44">
      <calculatedColumnFormula>Tabel_4.2_SK[[#This Row],[Mængde]]*(Tabel_4.2_SK[[#This Row],[a. 
Den absolut mindste enhedspris, der forekommer mulig
(Optimistisk)]]
+3*Tabel_4.2_SK[[#This Row],[b. 
Den mest sandsynlige enhedspris]]
+Tabel_4.2_SK[[#This Row],[c. 
Den absolut størst tænkelige enhedspris
(pessimistisk)]])/5</calculatedColumnFormula>
    </tableColumn>
    <tableColumn id="9" xr3:uid="{6BD63CDE-68B7-40E4-8F45-CB9BB0B586D3}" name="s._x000a_spredningen_x000a_(standardafvigelsen)" dataDxfId="43" totalsRowDxfId="42">
      <calculatedColumnFormula>Tabel_4.2_SK[[#This Row],[Mængde]]*(Tabel_4.2_SK[[#This Row],[c. 
Den absolut størst tænkelige enhedspris
(pessimistisk)]]
-Tabel_4.2_SK[[#This Row],[a. 
Den absolut mindste enhedspris, der forekommer mulig
(Optimistisk)]])/5</calculatedColumnFormula>
    </tableColumn>
    <tableColumn id="10" xr3:uid="{E1E0A481-57A2-41A9-874C-D1462B3ABAAF}" name="v._x000a_varians (s2x10-7)" totalsRowFunction="sum" dataDxfId="41" totalsRowDxfId="40">
      <calculatedColumnFormula>Tabel_4.2_SK[[#This Row],[s.
spredningen
(standardafvigelsen)]]^2*0.000001</calculatedColumnFormula>
    </tableColumn>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8723226-A973-4FE7-96C3-3D1A70AC882C}" name="Data_samlet" displayName="Data_samlet" ref="A3:E15" tableType="queryTable" totalsRowCount="1">
  <autoFilter ref="A3:E14" xr:uid="{48723226-A973-4FE7-96C3-3D1A70AC882C}"/>
  <tableColumns count="5">
    <tableColumn id="5" xr3:uid="{EA6969FE-AF75-4B48-8E0E-106A9FAF1D0E}" uniqueName="5" name="ID" totalsRowLabel="Total" queryTableFieldId="5" dataDxfId="39"/>
    <tableColumn id="1" xr3:uid="{D9425BA5-6AAE-4936-B55B-DE75DD4CA3F6}" uniqueName="1" name="Punkt" queryTableFieldId="1" dataDxfId="38"/>
    <tableColumn id="2" xr3:uid="{879CC8FA-D878-4CC7-B4E7-57BE9631D4C9}" uniqueName="2" name="Beskrivelse" queryTableFieldId="2" dataDxfId="37"/>
    <tableColumn id="3" xr3:uid="{61A867DA-1D86-4D76-9DA1-1C2F02BAE43C}" uniqueName="3" name="Metode" queryTableFieldId="3" dataDxfId="36"/>
    <tableColumn id="4" xr3:uid="{D747638E-9140-445D-89F5-CE7F73E61F62}" uniqueName="4" name="Beløb" totalsRowFunction="sum" queryTableFieldId="4" dataDxfId="35" totalsRowDxfId="34"/>
  </tableColumns>
  <tableStyleInfo name="TableStyleMedium7"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CA15BE2-28B8-4C75-959F-07B2DED6AEE0}" name="Stamdata" displayName="Stamdata" ref="G3:Q4" tableType="queryTable" totalsRowShown="0">
  <autoFilter ref="G3:Q4" xr:uid="{9CA15BE2-28B8-4C75-959F-07B2DED6AEE0}"/>
  <tableColumns count="11">
    <tableColumn id="1" xr3:uid="{CDCF4DD5-24B1-47FF-AA30-0FF84E87D00A}" uniqueName="1" name="ID" queryTableFieldId="1" dataDxfId="33"/>
    <tableColumn id="2" xr3:uid="{8D96B970-CB72-4844-8493-45FBD0E9C2BE}" uniqueName="2" name="Projektnavn" queryTableFieldId="2" dataDxfId="32"/>
    <tableColumn id="3" xr3:uid="{5C02EE0D-028E-4B05-ADD8-218E563B8409}" uniqueName="3" name="Ansvarlig PL" queryTableFieldId="3" dataDxfId="31"/>
    <tableColumn id="4" xr3:uid="{77360A65-2149-4322-BBF2-735827FC57C9}" uniqueName="4" name="Sagsnr." queryTableFieldId="4"/>
    <tableColumn id="5" xr3:uid="{AF89D8A8-7BFA-4F42-BDED-4E7582BA6AB7}" uniqueName="5" name="YBL-fase" queryTableFieldId="5" dataDxfId="30"/>
    <tableColumn id="6" xr3:uid="{5179CCDC-E1B3-4D79-8A36-DB3622A795B8}" uniqueName="6" name="Revisionsdato" queryTableFieldId="6" dataDxfId="29"/>
    <tableColumn id="7" xr3:uid="{59625436-7DE8-4C69-9E63-A191EE07657B}" uniqueName="7" name="Revisionsnummer" queryTableFieldId="7" dataDxfId="28"/>
    <tableColumn id="8" xr3:uid="{C460586D-A776-4231-949D-96585E6ED08C}" uniqueName="8" name="Forventet startdato" queryTableFieldId="8" dataDxfId="27"/>
    <tableColumn id="9" xr3:uid="{A008C666-26D7-4510-B140-E1687CDC877D}" uniqueName="9" name="Forventet slutdato" queryTableFieldId="9" dataDxfId="26"/>
    <tableColumn id="10" xr3:uid="{AD17477A-7BE4-4880-85B7-26C49BDF37AC}" uniqueName="10" name="Andel anlæg" queryTableFieldId="10"/>
    <tableColumn id="11" xr3:uid="{E930367D-2B55-4749-B447-5C91B996169D}" uniqueName="11" name="Godkendt af" queryTableFieldId="11" dataDxfId="25"/>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6B73B30-E365-42F4-B11F-EF94EF9A8273}" name="Tabel_Periodisering25" displayName="Tabel_Periodisering25" ref="K75:L81" totalsRowShown="0">
  <autoFilter ref="K75:L81" xr:uid="{BE705A41-8994-4C07-8A8F-CCC99198A66E}"/>
  <tableColumns count="2">
    <tableColumn id="1" xr3:uid="{1963995D-CE24-4DF0-84C6-636DC0589596}" name="År" dataDxfId="376">
      <calculatedColumnFormula>C77</calculatedColumnFormula>
    </tableColumn>
    <tableColumn id="2" xr3:uid="{5B4EE99B-E775-45D1-A2FD-A16918D387EF}" name="Andel af byggeudgift" dataDxfId="375">
      <calculatedColumnFormula>E77</calculatedColumnFormula>
    </tableColumn>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A4BC23A-A306-406A-A2C7-4828DEA00E9E}" name="Tabel_SKeksempel" displayName="Tabel_SKeksempel" ref="B6:K16" totalsRowCount="1">
  <autoFilter ref="B6:K15" xr:uid="{7B557941-F7CE-4196-AD54-DB789764E9ED}"/>
  <tableColumns count="10">
    <tableColumn id="1" xr3:uid="{B67790C8-E38A-4ED6-831A-E06EE6450926}" name="Punkt" dataDxfId="24" totalsRowDxfId="23"/>
    <tableColumn id="2" xr3:uid="{FC28185C-20A7-4585-BC50-57C05DB0C06B}" name="Beskrivelse" totalsRowLabel="I alt" dataDxfId="22" totalsRowDxfId="21"/>
    <tableColumn id="3" xr3:uid="{23D6B01D-7CB2-47AA-8778-D91E12C34606}" name="Mængde" dataDxfId="20" totalsRowDxfId="19"/>
    <tableColumn id="4" xr3:uid="{17ED07B5-FD9C-43F4-912E-3F4279F176AC}" name="Enhed" dataDxfId="18" totalsRowDxfId="17"/>
    <tableColumn id="5" xr3:uid="{BCF703C3-4094-4560-884F-BA6E35BEF708}" name="a. _x000a_Den absolut mindste enhedspris, der forekommer mulig_x000a_(Optimistisk)" dataDxfId="16" totalsRowDxfId="15"/>
    <tableColumn id="6" xr3:uid="{F0C708CB-923C-4DDA-AB09-F4F716A58BA4}" name="b. _x000a_Den mest sandsynlige enhedspris" dataDxfId="14" totalsRowDxfId="13"/>
    <tableColumn id="7" xr3:uid="{99F14D74-11F9-4FB5-B1E0-192CC0648A35}" name="c. _x000a_Den absolut størst tænkelige enhedspris_x000a_(pessimistisk)" dataDxfId="12" totalsRowDxfId="11"/>
    <tableColumn id="8" xr3:uid="{3F55E3B3-1984-449F-9174-F39AC112FA5F}" name="m._x000a_Den forventede værdi (middelværdi)" totalsRowFunction="sum" dataDxfId="10" totalsRowDxfId="9">
      <calculatedColumnFormula>Tabel_SKeksempel[[#This Row],[Mængde]]*(Tabel_SKeksempel[[#This Row],[a. 
Den absolut mindste enhedspris, der forekommer mulig
(Optimistisk)]]
+3*Tabel_SKeksempel[[#This Row],[b. 
Den mest sandsynlige enhedspris]]
+Tabel_SKeksempel[[#This Row],[c. 
Den absolut størst tænkelige enhedspris
(pessimistisk)]])/5</calculatedColumnFormula>
    </tableColumn>
    <tableColumn id="9" xr3:uid="{9FC70EBF-04C7-4680-8AAE-F3568C6E4F3C}" name="s._x000a_spredningen_x000a_(standardafvigelsen)" dataDxfId="8" totalsRowDxfId="7">
      <calculatedColumnFormula>Tabel_SKeksempel[[#This Row],[Mængde]]*(Tabel_SKeksempel[[#This Row],[c. 
Den absolut størst tænkelige enhedspris
(pessimistisk)]]
-Tabel_SKeksempel[[#This Row],[a. 
Den absolut mindste enhedspris, der forekommer mulig
(Optimistisk)]])/5</calculatedColumnFormula>
    </tableColumn>
    <tableColumn id="10" xr3:uid="{87F6FCD9-E0E1-4099-AA0E-7259E6B9D6E2}" name="v._x000a_varians (s2x10-7)" totalsRowFunction="sum" dataDxfId="6" totalsRowDxfId="5">
      <calculatedColumnFormula>Tabel_SKeksempel[[#This Row],[s.
spredningen
(standardafvigelsen)]]^2*0.000001</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C8D47773-FD3F-4502-AE8E-8A494A9887E2}" name="Tabel_Samleark" displayName="Tabel_Samleark" ref="K21:P55" totalsRowShown="0">
  <autoFilter ref="K21:P55" xr:uid="{C8D47773-FD3F-4502-AE8E-8A494A9887E2}"/>
  <tableColumns count="6">
    <tableColumn id="1" xr3:uid="{5F2E88A6-9496-404F-B7AA-395686A8E254}" name="Punkt" dataDxfId="374">
      <calculatedColumnFormula>IF(I22="","",C22)</calculatedColumnFormula>
    </tableColumn>
    <tableColumn id="7" xr3:uid="{2387A895-F112-4C06-BD84-D47D6D6BF290}" name="Hovedpunkt" dataDxfId="373">
      <calculatedColumnFormula>IFERROR(LEFT(Tabel_Samleark[[#This Row],[Punkt]],FIND(".",Tabel_Samleark[[#This Row],[Punkt]])-1),"")</calculatedColumnFormula>
    </tableColumn>
    <tableColumn id="6" xr3:uid="{3414415A-D29A-4E3E-95CE-171B7D35EF91}" name="Sagsopgave" dataDxfId="372">
      <calculatedColumnFormula>IF(Tabel_Samleark[[#This Row],[Punkt]]="","",$B22)</calculatedColumnFormula>
    </tableColumn>
    <tableColumn id="5" xr3:uid="{C0ECA792-2E3D-4010-9A73-B07D3DBEA3AF}" name="Beskrivelse" dataDxfId="371">
      <calculatedColumnFormula>IF(Tabel_Samleark[[#This Row],[Punkt]]="","",$D22)</calculatedColumnFormula>
    </tableColumn>
    <tableColumn id="2" xr3:uid="{C9143452-0D08-489A-86FC-EFD778AC9A6F}" name="Overskriv faneværdier" dataDxfId="370">
      <calculatedColumnFormula>IF(Tabel_Samleark[[#This Row],[Punkt]]="","",IF(G22&lt;&gt;"","Ja","Nej"))</calculatedColumnFormula>
    </tableColumn>
    <tableColumn id="3" xr3:uid="{2DD68F9A-AD56-4326-9321-D54879A1FB45}" name="Beløb" dataDxfId="369">
      <calculatedColumnFormula>IF(Tabel_Samleark[[#This Row],[Overskriv faneværdier]]="Ja",$G22,IF($I22="Samleark",$F22,""))</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680718C-C294-442A-8AFB-98DA983A16B6}" name="Tabel_Stamdata" displayName="Tabel_Stamdata" ref="K2:L12" totalsRowShown="0">
  <autoFilter ref="K2:L12" xr:uid="{7680718C-C294-442A-8AFB-98DA983A16B6}"/>
  <tableColumns count="2">
    <tableColumn id="1" xr3:uid="{F6EE0772-BAEC-4805-B269-3B698B7F4847}" name="Felt" dataDxfId="368">
      <calculatedColumnFormula>B3</calculatedColumnFormula>
    </tableColumn>
    <tableColumn id="2" xr3:uid="{82D16EC8-56D7-4E9B-9710-3161331799D2}" name="Værdi" dataDxfId="367">
      <calculatedColumnFormula>C3</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BE705A41-8994-4C07-8A8F-CCC99198A66E}" name="Tabel_Periodisering" displayName="Tabel_Periodisering" ref="K61:L67" totalsRowShown="0">
  <autoFilter ref="K61:L67" xr:uid="{BE705A41-8994-4C07-8A8F-CCC99198A66E}"/>
  <tableColumns count="2">
    <tableColumn id="1" xr3:uid="{144C6010-ADAB-409C-8D99-293AB32B39B7}" name="År" dataDxfId="366">
      <calculatedColumnFormula>C62</calculatedColumnFormula>
    </tableColumn>
    <tableColumn id="2" xr3:uid="{5F8C8865-B53A-445F-8852-3F0F08CAAF5B}" name="Andel af byggeudgift" dataDxfId="365">
      <calculatedColumnFormula>E62</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557941-F7CE-4196-AD54-DB789764E9ED}" name="Tabel_1.1_SK" displayName="Tabel_1.1_SK" ref="B6:K16" totalsRowCount="1">
  <autoFilter ref="B6:K15" xr:uid="{7B557941-F7CE-4196-AD54-DB789764E9ED}"/>
  <tableColumns count="10">
    <tableColumn id="1" xr3:uid="{7683A1E4-5174-43A9-904D-464AF74C4C77}" name="Punkt" totalsRowLabel="1.1" dataDxfId="364" totalsRowDxfId="363"/>
    <tableColumn id="2" xr3:uid="{0A01C228-F433-4527-A9A0-85A18F67494E}" name="Beskrivelse" totalsRowLabel="Indvendig nedbrydningsarbejde i alt - successiv kalkulation" dataDxfId="362" totalsRowDxfId="361"/>
    <tableColumn id="3" xr3:uid="{BEC92674-EE91-41EB-971C-43711482B199}" name="Mængde" dataDxfId="360" totalsRowDxfId="359"/>
    <tableColumn id="4" xr3:uid="{D50F55A1-40EE-42F7-807D-EEA9B2C9E258}" name="Enhed" dataDxfId="358" totalsRowDxfId="357"/>
    <tableColumn id="5" xr3:uid="{A838B777-1A2B-40E5-8177-582DB2553BFE}" name="a. _x000a_Den absolut mindste enhedspris, der forekommer mulig_x000a_(Optimistisk)" dataDxfId="356" totalsRowDxfId="355"/>
    <tableColumn id="6" xr3:uid="{0240408D-E207-474C-9637-80DD33AC9899}" name="b. _x000a_Den mest sandsynlige enhedspris" dataDxfId="354" totalsRowDxfId="353"/>
    <tableColumn id="7" xr3:uid="{CA4EA035-0FDE-43A3-A334-21D793CBEDF0}" name="c. _x000a_Den absolut størst tænkelige enhedspris_x000a_(pessimistisk)" dataDxfId="352" totalsRowDxfId="351"/>
    <tableColumn id="8" xr3:uid="{9D56D491-D8F9-4C87-B7A3-148B0C37FEBA}" name="m._x000a_Den forventede værdi (middelværdi)" totalsRowFunction="sum" dataDxfId="350" totalsRowDxfId="349">
      <calculatedColumnFormula>Tabel_1.1_SK[[#This Row],[Mængde]]*(Tabel_1.1_SK[[#This Row],[a. 
Den absolut mindste enhedspris, der forekommer mulig
(Optimistisk)]]
+3*Tabel_1.1_SK[[#This Row],[b. 
Den mest sandsynlige enhedspris]]
+Tabel_1.1_SK[[#This Row],[c. 
Den absolut størst tænkelige enhedspris
(pessimistisk)]])/5</calculatedColumnFormula>
    </tableColumn>
    <tableColumn id="9" xr3:uid="{AADF1995-2DC9-4C73-A06E-AA89DFCBE212}" name="s._x000a_spredningen_x000a_(standardafvigelsen)" dataDxfId="348" totalsRowDxfId="347">
      <calculatedColumnFormula>Tabel_1.1_SK[[#This Row],[Mængde]]*(Tabel_1.1_SK[[#This Row],[c. 
Den absolut størst tænkelige enhedspris
(pessimistisk)]]
-Tabel_1.1_SK[[#This Row],[a. 
Den absolut mindste enhedspris, der forekommer mulig
(Optimistisk)]])/5</calculatedColumnFormula>
    </tableColumn>
    <tableColumn id="10" xr3:uid="{A14F28CB-720F-4E64-B98E-E4EEA1BF3762}" name="v._x000a_varians (s2x10-7)" totalsRowFunction="sum" dataDxfId="346" totalsRowDxfId="345">
      <calculatedColumnFormula>Tabel_1.1_SK[[#This Row],[s.
spredningen
(standardafvigelsen)]]^2*0.000001</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61E808D-A407-4B24-9E4F-53BE836DDF90}" name="Tabel_2.1_SK" displayName="Tabel_2.1_SK" ref="B24:K34" totalsRowCount="1">
  <autoFilter ref="B24:K33" xr:uid="{F61E808D-A407-4B24-9E4F-53BE836DDF90}"/>
  <tableColumns count="10">
    <tableColumn id="1" xr3:uid="{341440D0-C1F4-4AC8-A55C-9951A94FFD98}" name="Punkt" totalsRowLabel="2.1" dataDxfId="344" totalsRowDxfId="343"/>
    <tableColumn id="2" xr3:uid="{323FF5D4-22EF-4283-B3D8-3F9BE066E44D}" name="Beskrivelse" totalsRowLabel="Udvendig nedbrydningsarbejde i alt - successiv kalkulation" dataDxfId="342" totalsRowDxfId="341"/>
    <tableColumn id="3" xr3:uid="{BED730B7-348A-4691-B2D5-381653A273CE}" name="Mængde" dataDxfId="340" totalsRowDxfId="339"/>
    <tableColumn id="4" xr3:uid="{8FA9FA6F-B205-4645-B936-2A754EE9413E}" name="Enhed" dataDxfId="338" totalsRowDxfId="337"/>
    <tableColumn id="5" xr3:uid="{3E0802E3-DF15-4D37-A319-54D81AECE277}" name="a. _x000a_Den absolut mindste enhedspris, der forekommer mulig_x000a_(Optimistisk)" dataDxfId="336" totalsRowDxfId="335"/>
    <tableColumn id="6" xr3:uid="{3AAA0FA8-277D-4FB4-959A-C1FF8E73CAC7}" name="b. _x000a_Den mest sandsynlige enhedspris" dataDxfId="334" totalsRowDxfId="333"/>
    <tableColumn id="7" xr3:uid="{574D305F-EAA9-470B-AE2C-2280FBA48EBC}" name="c. _x000a_Den absolut størst tænkelige enhedspris_x000a_(pessimistisk)" dataDxfId="332" totalsRowDxfId="331"/>
    <tableColumn id="8" xr3:uid="{4B239BA3-1222-4C07-93DB-B950C89B37E5}" name="m._x000a_Den forventede værdi (middelværdi)" totalsRowFunction="sum" dataDxfId="330" totalsRowDxfId="329">
      <calculatedColumnFormula>Tabel_2.1_SK[[#This Row],[Mængde]]*(Tabel_2.1_SK[[#This Row],[a. 
Den absolut mindste enhedspris, der forekommer mulig
(Optimistisk)]]
+3*Tabel_2.1_SK[[#This Row],[b. 
Den mest sandsynlige enhedspris]]
+Tabel_2.1_SK[[#This Row],[c. 
Den absolut størst tænkelige enhedspris
(pessimistisk)]])/5</calculatedColumnFormula>
    </tableColumn>
    <tableColumn id="9" xr3:uid="{E93743BF-A5A7-4489-9596-6185F8B45993}" name="s._x000a_spredningen_x000a_(standardafvigelsen)" dataDxfId="328" totalsRowDxfId="327">
      <calculatedColumnFormula>Tabel_2.1_SK[[#This Row],[Mængde]]*(Tabel_2.1_SK[[#This Row],[c. 
Den absolut størst tænkelige enhedspris
(pessimistisk)]]
-Tabel_2.1_SK[[#This Row],[a. 
Den absolut mindste enhedspris, der forekommer mulig
(Optimistisk)]])/5</calculatedColumnFormula>
    </tableColumn>
    <tableColumn id="10" xr3:uid="{24DDF3BA-9A86-428E-B7B7-D9D6A683943E}" name="v._x000a_varians (s2x10-7)" totalsRowFunction="sum" dataDxfId="326" totalsRowDxfId="325">
      <calculatedColumnFormula>Tabel_2.1_SK[[#This Row],[s.
spredningen
(standardafvigelsen)]]^2*0.000001</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565645-0344-40EE-9CA8-507882C914E3}" name="Tabel_1.2_SK" displayName="Tabel_1.2_SK" ref="B6:K16" totalsRowCount="1">
  <autoFilter ref="B6:K15" xr:uid="{7B557941-F7CE-4196-AD54-DB789764E9ED}"/>
  <tableColumns count="10">
    <tableColumn id="1" xr3:uid="{7E1021E1-F884-4240-8B72-25B447A9FC08}" name="Punkt" totalsRowLabel="1.2" dataDxfId="324" totalsRowDxfId="323"/>
    <tableColumn id="2" xr3:uid="{89E9A631-7BEA-4FD8-97E3-6C38B939C8F6}" name="Beskrivelse" totalsRowLabel="Indvendig tømrerarbejde i alt - successiv kalkulation" dataDxfId="322" totalsRowDxfId="321"/>
    <tableColumn id="3" xr3:uid="{C688B55A-56CA-404E-AA39-AB609DB1E233}" name="Mængde" dataDxfId="320" totalsRowDxfId="319"/>
    <tableColumn id="4" xr3:uid="{0380E861-9BDB-449E-9FA0-C1E6EEA7F7EC}" name="Enhed" dataDxfId="318" totalsRowDxfId="317"/>
    <tableColumn id="5" xr3:uid="{522CE16C-36A5-4C28-98C1-341DE34749F3}" name="a. _x000a_Den absolut mindste enhedspris, der forekommer mulig_x000a_(Optimistisk)" dataDxfId="316" totalsRowDxfId="315"/>
    <tableColumn id="6" xr3:uid="{B94165AB-0B1F-4617-95C3-83E8DFE54AF5}" name="b. _x000a_Den mest sandsynlige enhedspris" dataDxfId="314" totalsRowDxfId="313"/>
    <tableColumn id="7" xr3:uid="{1DCFCC8B-757F-4613-A4E4-97399E20FCA3}" name="c. _x000a_Den absolut størst tænkelige enhedspris_x000a_(pessimistisk)" dataDxfId="312" totalsRowDxfId="311"/>
    <tableColumn id="8" xr3:uid="{96F236AC-92CE-4F58-9DEA-40FD04429BC2}" name="m._x000a_Den forventede værdi (middelværdi)" totalsRowFunction="sum" dataDxfId="310" totalsRowDxfId="309">
      <calculatedColumnFormula>Tabel_1.2_SK[[#This Row],[Mængde]]*(Tabel_1.2_SK[[#This Row],[a. 
Den absolut mindste enhedspris, der forekommer mulig
(Optimistisk)]]
+3*Tabel_1.2_SK[[#This Row],[b. 
Den mest sandsynlige enhedspris]]
+Tabel_1.2_SK[[#This Row],[c. 
Den absolut størst tænkelige enhedspris
(pessimistisk)]])/5</calculatedColumnFormula>
    </tableColumn>
    <tableColumn id="9" xr3:uid="{7BCAB6C4-14CF-4192-A99F-C65BE0E9B266}" name="s._x000a_spredningen_x000a_(standardafvigelsen)" dataDxfId="308" totalsRowDxfId="307">
      <calculatedColumnFormula>Tabel_1.2_SK[[#This Row],[Mængde]]*(Tabel_1.2_SK[[#This Row],[c. 
Den absolut størst tænkelige enhedspris
(pessimistisk)]]
-Tabel_1.2_SK[[#This Row],[a. 
Den absolut mindste enhedspris, der forekommer mulig
(Optimistisk)]])/5</calculatedColumnFormula>
    </tableColumn>
    <tableColumn id="10" xr3:uid="{BF1EE28B-0567-4849-9C5C-10B9FF550A3B}" name="v._x000a_varians (s2x10-7)" totalsRowFunction="sum" dataDxfId="306" totalsRowDxfId="305">
      <calculatedColumnFormula>Tabel_1.2_SK[[#This Row],[s.
spredningen
(standardafvigelsen)]]^2*0.000001</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AU colorful">
      <a:dk1>
        <a:sysClr val="windowText" lastClr="000000"/>
      </a:dk1>
      <a:lt1>
        <a:sysClr val="window" lastClr="FFFFFF"/>
      </a:lt1>
      <a:dk2>
        <a:srgbClr val="44546A"/>
      </a:dk2>
      <a:lt2>
        <a:srgbClr val="E7E6E6"/>
      </a:lt2>
      <a:accent1>
        <a:srgbClr val="37A0CB"/>
      </a:accent1>
      <a:accent2>
        <a:srgbClr val="003D73"/>
      </a:accent2>
      <a:accent3>
        <a:srgbClr val="655A9F"/>
      </a:accent3>
      <a:accent4>
        <a:srgbClr val="E2001A"/>
      </a:accent4>
      <a:accent5>
        <a:srgbClr val="EE7F00"/>
      </a:accent5>
      <a:accent6>
        <a:srgbClr val="FABB00"/>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openxmlformats.org/officeDocument/2006/relationships/table" Target="../tables/table18.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24.xml"/><Relationship Id="rId3" Type="http://schemas.openxmlformats.org/officeDocument/2006/relationships/table" Target="../tables/table19.xml"/><Relationship Id="rId7" Type="http://schemas.openxmlformats.org/officeDocument/2006/relationships/table" Target="../tables/table23.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6" Type="http://schemas.openxmlformats.org/officeDocument/2006/relationships/table" Target="../tables/table22.xml"/><Relationship Id="rId5" Type="http://schemas.openxmlformats.org/officeDocument/2006/relationships/table" Target="../tables/table21.xml"/><Relationship Id="rId4" Type="http://schemas.openxmlformats.org/officeDocument/2006/relationships/table" Target="../tables/table20.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vmlDrawing" Target="../drawings/vmlDrawing12.vml"/><Relationship Id="rId1" Type="http://schemas.openxmlformats.org/officeDocument/2006/relationships/printerSettings" Target="../printerSettings/printerSettings13.bin"/><Relationship Id="rId4" Type="http://schemas.openxmlformats.org/officeDocument/2006/relationships/table" Target="../tables/table2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table" Target="../tables/table2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ivotTable" Target="../pivotTables/pivotTable1.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table" Target="../tables/table10.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table" Target="../tables/table1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table" Target="../tables/table1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BCAD6-3378-4893-8AD3-11BCFEF542BC}">
  <sheetPr>
    <pageSetUpPr fitToPage="1"/>
  </sheetPr>
  <dimension ref="A1:R83"/>
  <sheetViews>
    <sheetView showGridLines="0" zoomScaleNormal="100" zoomScaleSheetLayoutView="100" workbookViewId="0">
      <selection activeCell="T33" sqref="T33"/>
    </sheetView>
  </sheetViews>
  <sheetFormatPr defaultColWidth="9.140625" defaultRowHeight="15" outlineLevelCol="1" x14ac:dyDescent="0.25"/>
  <cols>
    <col min="1" max="1" width="94.5703125" customWidth="1"/>
    <col min="2" max="2" width="17.7109375" bestFit="1" customWidth="1"/>
    <col min="3" max="3" width="10.42578125" bestFit="1" customWidth="1"/>
    <col min="4" max="4" width="78.5703125" bestFit="1" customWidth="1"/>
    <col min="5" max="5" width="22.7109375" customWidth="1"/>
    <col min="6" max="6" width="15.7109375" customWidth="1"/>
    <col min="7" max="7" width="24" bestFit="1" customWidth="1"/>
    <col min="8" max="8" width="14.28515625" customWidth="1"/>
    <col min="9" max="10" width="17.7109375" hidden="1" customWidth="1" outlineLevel="1"/>
    <col min="11" max="11" width="24.85546875" hidden="1" customWidth="1" outlineLevel="1"/>
    <col min="12" max="12" width="21.42578125" hidden="1" customWidth="1" outlineLevel="1"/>
    <col min="13" max="13" width="13.85546875" hidden="1" customWidth="1" outlineLevel="1"/>
    <col min="14" max="14" width="23.7109375" hidden="1" customWidth="1" outlineLevel="1"/>
    <col min="15" max="15" width="8" hidden="1" customWidth="1" outlineLevel="1"/>
    <col min="16" max="16" width="9.140625" hidden="1" customWidth="1" outlineLevel="1"/>
    <col min="17" max="17" width="2.7109375" hidden="1" customWidth="1" outlineLevel="1"/>
    <col min="18" max="18" width="9.140625" customWidth="1" collapsed="1"/>
    <col min="16384" max="16384" width="19.140625" customWidth="1"/>
  </cols>
  <sheetData>
    <row r="1" spans="1:12" ht="19.5" x14ac:dyDescent="0.25">
      <c r="A1" s="72" t="s">
        <v>347</v>
      </c>
      <c r="B1" s="73"/>
      <c r="C1" s="73"/>
      <c r="D1" s="73"/>
      <c r="E1" s="73"/>
      <c r="F1" s="73"/>
      <c r="G1" s="73"/>
    </row>
    <row r="2" spans="1:12" x14ac:dyDescent="0.25">
      <c r="A2" s="74"/>
      <c r="B2" s="68"/>
      <c r="C2" s="68"/>
      <c r="D2" s="68"/>
      <c r="E2" s="68"/>
      <c r="F2" s="68"/>
      <c r="G2" s="68"/>
    </row>
    <row r="3" spans="1:12" x14ac:dyDescent="0.25">
      <c r="A3" s="74" t="s">
        <v>348</v>
      </c>
      <c r="B3" s="68"/>
      <c r="C3" s="68"/>
      <c r="D3" s="68"/>
      <c r="E3" s="68"/>
      <c r="F3" s="68"/>
      <c r="G3" s="68"/>
    </row>
    <row r="4" spans="1:12" x14ac:dyDescent="0.25">
      <c r="A4" s="74"/>
      <c r="B4" s="68"/>
      <c r="C4" s="68"/>
      <c r="D4" s="68"/>
      <c r="E4" s="68"/>
      <c r="F4" s="68"/>
      <c r="G4" s="68"/>
    </row>
    <row r="5" spans="1:12" x14ac:dyDescent="0.25">
      <c r="A5" s="74" t="s">
        <v>349</v>
      </c>
      <c r="B5" s="68"/>
      <c r="C5" s="68"/>
      <c r="D5" s="68"/>
      <c r="E5" s="68"/>
      <c r="F5" s="68"/>
      <c r="G5" s="68"/>
    </row>
    <row r="6" spans="1:12" x14ac:dyDescent="0.25">
      <c r="A6" s="74" t="s">
        <v>360</v>
      </c>
      <c r="B6" s="68"/>
      <c r="C6" s="68"/>
      <c r="D6" s="68"/>
      <c r="E6" s="68"/>
      <c r="F6" s="68"/>
      <c r="G6" s="68"/>
    </row>
    <row r="7" spans="1:12" x14ac:dyDescent="0.25">
      <c r="A7" s="74" t="s">
        <v>350</v>
      </c>
      <c r="B7" s="68"/>
      <c r="C7" s="68"/>
      <c r="D7" s="68"/>
      <c r="E7" s="68"/>
      <c r="F7" s="68"/>
      <c r="G7" s="68"/>
    </row>
    <row r="8" spans="1:12" x14ac:dyDescent="0.25">
      <c r="A8" s="74"/>
      <c r="B8" s="68"/>
      <c r="C8" s="68"/>
      <c r="D8" s="68"/>
      <c r="E8" s="68"/>
      <c r="F8" s="68"/>
      <c r="G8" s="68"/>
    </row>
    <row r="9" spans="1:12" x14ac:dyDescent="0.25">
      <c r="A9" s="74" t="s">
        <v>395</v>
      </c>
      <c r="B9" s="68"/>
      <c r="C9" s="68"/>
      <c r="D9" s="68"/>
      <c r="E9" s="68"/>
      <c r="F9" s="68"/>
      <c r="G9" s="68"/>
    </row>
    <row r="10" spans="1:12" x14ac:dyDescent="0.25">
      <c r="A10" s="74" t="s">
        <v>361</v>
      </c>
      <c r="B10" s="68"/>
      <c r="C10" s="68"/>
      <c r="D10" s="68"/>
      <c r="E10" s="68"/>
      <c r="F10" s="68"/>
      <c r="G10" s="68"/>
    </row>
    <row r="11" spans="1:12" x14ac:dyDescent="0.25">
      <c r="A11" s="75" t="str">
        <f>HYPERLINK("#'Eksempel Successiv kalkulation'!A1","Eksempel Successiv kalkulation")</f>
        <v>Eksempel Successiv kalkulation</v>
      </c>
      <c r="B11" s="68"/>
      <c r="C11" s="68"/>
      <c r="D11" s="68"/>
      <c r="E11" s="68"/>
      <c r="F11" s="68"/>
      <c r="G11" s="68"/>
    </row>
    <row r="12" spans="1:12" x14ac:dyDescent="0.25">
      <c r="A12" s="75" t="str">
        <f>HYPERLINK("#'Forklaring Successiv kalkulatio'!A1","Forklaring Successiv kalkulation")</f>
        <v>Forklaring Successiv kalkulation</v>
      </c>
      <c r="B12" s="68"/>
      <c r="C12" s="68"/>
      <c r="D12" s="68"/>
      <c r="E12" s="68"/>
      <c r="F12" s="68"/>
      <c r="G12" s="68"/>
    </row>
    <row r="13" spans="1:12" x14ac:dyDescent="0.25">
      <c r="A13" s="76"/>
      <c r="B13" s="77"/>
      <c r="C13" s="77"/>
      <c r="D13" s="77"/>
      <c r="E13" s="77"/>
      <c r="F13" s="77"/>
      <c r="G13" s="77"/>
    </row>
    <row r="15" spans="1:12" ht="20.25" thickBot="1" x14ac:dyDescent="0.35">
      <c r="B15" s="37" t="s">
        <v>241</v>
      </c>
      <c r="C15" s="37"/>
      <c r="D15" s="37"/>
      <c r="E15" s="37"/>
      <c r="F15" s="37"/>
      <c r="G15" s="37"/>
      <c r="K15" s="33" t="s">
        <v>241</v>
      </c>
    </row>
    <row r="16" spans="1:12" ht="15.75" thickTop="1" x14ac:dyDescent="0.25">
      <c r="K16" t="s">
        <v>307</v>
      </c>
      <c r="L16" t="s">
        <v>308</v>
      </c>
    </row>
    <row r="17" spans="1:13" x14ac:dyDescent="0.25">
      <c r="A17" s="68" t="s">
        <v>351</v>
      </c>
      <c r="B17" t="s">
        <v>242</v>
      </c>
      <c r="C17" s="105"/>
      <c r="D17" s="106"/>
      <c r="K17" t="str">
        <f t="shared" ref="K17:L25" si="0">B17</f>
        <v>Projektnavn</v>
      </c>
      <c r="L17">
        <f t="shared" si="0"/>
        <v>0</v>
      </c>
    </row>
    <row r="18" spans="1:13" x14ac:dyDescent="0.25">
      <c r="A18" s="68" t="s">
        <v>352</v>
      </c>
      <c r="B18" t="s">
        <v>330</v>
      </c>
      <c r="C18" s="105"/>
      <c r="D18" s="106"/>
      <c r="K18" t="str">
        <f>B18</f>
        <v>Ansvarlig PL</v>
      </c>
      <c r="L18">
        <f>C18</f>
        <v>0</v>
      </c>
    </row>
    <row r="19" spans="1:13" x14ac:dyDescent="0.25">
      <c r="A19" s="68" t="s">
        <v>353</v>
      </c>
      <c r="B19" t="s">
        <v>265</v>
      </c>
      <c r="C19" s="54"/>
      <c r="K19" t="str">
        <f t="shared" si="0"/>
        <v>Sagsnr.</v>
      </c>
      <c r="L19">
        <f t="shared" si="0"/>
        <v>0</v>
      </c>
    </row>
    <row r="20" spans="1:13" x14ac:dyDescent="0.25">
      <c r="A20" s="68" t="s">
        <v>354</v>
      </c>
      <c r="B20" t="s">
        <v>329</v>
      </c>
      <c r="C20" s="42"/>
      <c r="K20" t="str">
        <f t="shared" si="0"/>
        <v>YBL-fase</v>
      </c>
      <c r="L20">
        <f t="shared" si="0"/>
        <v>0</v>
      </c>
    </row>
    <row r="21" spans="1:13" x14ac:dyDescent="0.25">
      <c r="A21" s="68" t="s">
        <v>359</v>
      </c>
      <c r="B21" t="s">
        <v>331</v>
      </c>
      <c r="C21" s="63"/>
      <c r="K21" t="str">
        <f>B21</f>
        <v>Revisionsdato</v>
      </c>
      <c r="L21" s="59">
        <f>C21</f>
        <v>0</v>
      </c>
    </row>
    <row r="22" spans="1:13" x14ac:dyDescent="0.25">
      <c r="A22" s="68" t="s">
        <v>355</v>
      </c>
      <c r="B22" t="s">
        <v>332</v>
      </c>
      <c r="C22" s="42"/>
      <c r="K22" t="str">
        <f>B22</f>
        <v>Revisionsnummer</v>
      </c>
      <c r="L22">
        <f>C22</f>
        <v>0</v>
      </c>
    </row>
    <row r="23" spans="1:13" x14ac:dyDescent="0.25">
      <c r="A23" s="68" t="s">
        <v>447</v>
      </c>
      <c r="B23" t="s">
        <v>327</v>
      </c>
      <c r="C23" s="63">
        <v>45689</v>
      </c>
      <c r="K23" t="str">
        <f t="shared" si="0"/>
        <v>Forventet startdato</v>
      </c>
      <c r="L23" s="59">
        <f t="shared" si="0"/>
        <v>45689</v>
      </c>
    </row>
    <row r="24" spans="1:13" x14ac:dyDescent="0.25">
      <c r="A24" s="68" t="s">
        <v>356</v>
      </c>
      <c r="B24" t="s">
        <v>328</v>
      </c>
      <c r="C24" s="63">
        <v>46691</v>
      </c>
      <c r="K24" t="str">
        <f t="shared" si="0"/>
        <v>Forventet slutdato</v>
      </c>
      <c r="L24" s="59">
        <f t="shared" si="0"/>
        <v>46691</v>
      </c>
    </row>
    <row r="25" spans="1:13" x14ac:dyDescent="0.25">
      <c r="A25" s="68" t="s">
        <v>357</v>
      </c>
      <c r="B25" t="s">
        <v>303</v>
      </c>
      <c r="C25" s="64">
        <v>0.3</v>
      </c>
      <c r="K25" t="str">
        <f t="shared" si="0"/>
        <v>Andel anlæg</v>
      </c>
      <c r="L25" s="60">
        <f t="shared" si="0"/>
        <v>0.3</v>
      </c>
    </row>
    <row r="26" spans="1:13" x14ac:dyDescent="0.25">
      <c r="A26" s="68" t="s">
        <v>358</v>
      </c>
      <c r="B26" t="s">
        <v>333</v>
      </c>
      <c r="C26" s="107"/>
      <c r="D26" s="108"/>
      <c r="K26" t="str">
        <f>B26</f>
        <v>Godkendt af</v>
      </c>
      <c r="L26" s="65">
        <f>C26</f>
        <v>0</v>
      </c>
    </row>
    <row r="28" spans="1:13" ht="20.25" thickBot="1" x14ac:dyDescent="0.35">
      <c r="B28" s="37" t="s">
        <v>266</v>
      </c>
      <c r="C28" s="37"/>
      <c r="D28" s="37"/>
      <c r="E28" s="37"/>
      <c r="F28" s="37"/>
      <c r="G28" s="37"/>
      <c r="I28" s="33" t="s">
        <v>297</v>
      </c>
    </row>
    <row r="29" spans="1:13" ht="15.75" thickTop="1" x14ac:dyDescent="0.25">
      <c r="E29" s="58"/>
      <c r="F29" s="58" t="s">
        <v>43</v>
      </c>
      <c r="G29" s="39" t="s">
        <v>269</v>
      </c>
    </row>
    <row r="30" spans="1:13" x14ac:dyDescent="0.25">
      <c r="B30" s="33" t="s">
        <v>267</v>
      </c>
      <c r="C30" s="33" t="s">
        <v>268</v>
      </c>
      <c r="D30" s="33" t="s">
        <v>0</v>
      </c>
      <c r="E30" s="39"/>
      <c r="F30" s="39"/>
      <c r="G30" s="39" t="s">
        <v>270</v>
      </c>
      <c r="I30" s="33" t="s">
        <v>219</v>
      </c>
      <c r="J30" s="33" t="s">
        <v>262</v>
      </c>
      <c r="K30" s="33" t="s">
        <v>306</v>
      </c>
      <c r="L30" s="33"/>
      <c r="M30" s="33"/>
    </row>
    <row r="31" spans="1:13" x14ac:dyDescent="0.25">
      <c r="B31" s="33"/>
      <c r="C31" s="33"/>
      <c r="D31" s="33"/>
      <c r="E31" s="39"/>
      <c r="F31" s="39"/>
      <c r="G31" s="39"/>
      <c r="I31" s="33"/>
      <c r="J31" s="33"/>
    </row>
    <row r="32" spans="1:13" x14ac:dyDescent="0.25">
      <c r="A32" s="68" t="s">
        <v>335</v>
      </c>
      <c r="B32" s="43"/>
      <c r="C32" s="43"/>
      <c r="D32" s="43" t="s">
        <v>280</v>
      </c>
      <c r="E32" s="44"/>
      <c r="F32" s="45">
        <f ca="1">F33+F52</f>
        <v>0</v>
      </c>
      <c r="G32" s="45">
        <f>G33+G52</f>
        <v>0</v>
      </c>
      <c r="I32" s="33"/>
      <c r="J32" s="33"/>
    </row>
    <row r="33" spans="1:16" x14ac:dyDescent="0.25">
      <c r="A33" s="68" t="s">
        <v>336</v>
      </c>
      <c r="B33" s="46"/>
      <c r="C33" s="46"/>
      <c r="D33" s="47" t="s">
        <v>281</v>
      </c>
      <c r="E33" s="46"/>
      <c r="F33" s="48">
        <f ca="1">F35+F47</f>
        <v>0</v>
      </c>
      <c r="G33" s="48">
        <f>G35+G47</f>
        <v>0</v>
      </c>
    </row>
    <row r="35" spans="1:16" x14ac:dyDescent="0.25">
      <c r="A35" s="103" t="s">
        <v>337</v>
      </c>
      <c r="B35" s="49"/>
      <c r="C35" s="49" t="s">
        <v>91</v>
      </c>
      <c r="D35" s="49" t="s">
        <v>92</v>
      </c>
      <c r="E35" s="49" t="s">
        <v>298</v>
      </c>
      <c r="F35" s="50">
        <f ca="1">SUMIFS(F36:F45,$O36:$O45,"Nej")</f>
        <v>0</v>
      </c>
      <c r="G35" s="50">
        <f>SUM(G36:G45)</f>
        <v>0</v>
      </c>
      <c r="K35" t="s">
        <v>268</v>
      </c>
      <c r="L35" t="s">
        <v>312</v>
      </c>
      <c r="M35" t="s">
        <v>267</v>
      </c>
      <c r="N35" t="s">
        <v>0</v>
      </c>
      <c r="O35" t="s">
        <v>302</v>
      </c>
      <c r="P35" t="s">
        <v>271</v>
      </c>
    </row>
    <row r="36" spans="1:16" x14ac:dyDescent="0.25">
      <c r="A36" s="103"/>
      <c r="C36" t="s">
        <v>26</v>
      </c>
      <c r="D36" t="s">
        <v>52</v>
      </c>
      <c r="E36" s="34" t="str">
        <f>HYPERLINK("#"&amp;$I36&amp;"!Tabel_"&amp;$C36&amp;"_"&amp;IF($J36="Ja","Molio","SK")&amp;"[[Mængde]]",$I36)</f>
        <v>Nedbrydning</v>
      </c>
      <c r="F36" s="1">
        <f ca="1">SUM(INDIRECT("Tabel_"&amp;$C36&amp;"_SK[[m.
Den forventede værdi (middelværdi)]]"))
+IF($J36="Ja",SUM(INDIRECT("Tabel_"&amp;$C36&amp;"_Molio[[Beregnet budget]]")),0)</f>
        <v>0</v>
      </c>
      <c r="G36" s="38"/>
      <c r="I36" t="s">
        <v>52</v>
      </c>
      <c r="K36" t="str">
        <f t="shared" ref="K36:K59" si="1">IF(I36="","",C36)</f>
        <v>1.1</v>
      </c>
      <c r="L36" t="str">
        <f>IFERROR(LEFT(Tabel_Samleark13[[#This Row],[Punkt]],FIND(".",Tabel_Samleark13[[#This Row],[Punkt]])-1),"")</f>
        <v>1</v>
      </c>
      <c r="M36">
        <f>IF(Tabel_Samleark13[[#This Row],[Punkt]]="","",$B36)</f>
        <v>0</v>
      </c>
      <c r="N36" t="str">
        <f>IF(Tabel_Samleark13[[#This Row],[Punkt]]="","",$D36)</f>
        <v>Nedbrydning</v>
      </c>
      <c r="O36" t="str">
        <f>IF(Tabel_Samleark13[[#This Row],[Punkt]]="","",IF(G36&lt;&gt;"","Ja","Nej"))</f>
        <v>Nej</v>
      </c>
      <c r="P36" s="57" t="str">
        <f>IF(Tabel_Samleark13[[#This Row],[Overskriv faneværdier]]="Ja",$G36,IF($I36="Samleark",$F36,""))</f>
        <v/>
      </c>
    </row>
    <row r="37" spans="1:16" x14ac:dyDescent="0.25">
      <c r="A37" s="103"/>
      <c r="B37">
        <v>57014</v>
      </c>
      <c r="C37" t="s">
        <v>65</v>
      </c>
      <c r="D37" t="s">
        <v>75</v>
      </c>
      <c r="E37" s="34" t="str">
        <f t="shared" ref="E37:E45" si="2">HYPERLINK("#"&amp;$I37&amp;"!Tabel_"&amp;$C37&amp;"_"&amp;IF($J37="Ja","Molio","SK")&amp;"[[Mængde]]",$I37)</f>
        <v>Tømrer</v>
      </c>
      <c r="F37" s="1">
        <f t="shared" ref="F37:F45" ca="1" si="3">SUM(INDIRECT("Tabel_"&amp;$C37&amp;"_SK[[m.
Den forventede værdi (middelværdi)]]"))
+IF($J37="Ja",SUM(INDIRECT("Tabel_"&amp;$C37&amp;"_Molio[[Beregnet budget]]")),0)</f>
        <v>0</v>
      </c>
      <c r="G37" s="38"/>
      <c r="I37" t="s">
        <v>75</v>
      </c>
      <c r="J37" t="s">
        <v>263</v>
      </c>
      <c r="K37" t="str">
        <f t="shared" si="1"/>
        <v>1.2</v>
      </c>
      <c r="L37" t="str">
        <f>IFERROR(LEFT(Tabel_Samleark13[[#This Row],[Punkt]],FIND(".",Tabel_Samleark13[[#This Row],[Punkt]])-1),"")</f>
        <v>1</v>
      </c>
      <c r="M37">
        <f>IF(Tabel_Samleark13[[#This Row],[Punkt]]="","",$B37)</f>
        <v>57014</v>
      </c>
      <c r="N37" t="str">
        <f>IF(Tabel_Samleark13[[#This Row],[Punkt]]="","",$D37)</f>
        <v>Tømrer</v>
      </c>
      <c r="O37" t="str">
        <f>IF(Tabel_Samleark13[[#This Row],[Punkt]]="","",IF(G37&lt;&gt;"","Ja","Nej"))</f>
        <v>Nej</v>
      </c>
      <c r="P37" s="57" t="str">
        <f>IF(Tabel_Samleark13[[#This Row],[Overskriv faneværdier]]="Ja",$G37,IF($I37="Samleark",$F37,""))</f>
        <v/>
      </c>
    </row>
    <row r="38" spans="1:16" x14ac:dyDescent="0.25">
      <c r="A38" s="103"/>
      <c r="B38">
        <v>57023</v>
      </c>
      <c r="C38" t="s">
        <v>41</v>
      </c>
      <c r="D38" t="s">
        <v>53</v>
      </c>
      <c r="E38" s="34" t="str">
        <f t="shared" si="2"/>
        <v>Gulv</v>
      </c>
      <c r="F38" s="1">
        <f t="shared" ca="1" si="3"/>
        <v>0</v>
      </c>
      <c r="G38" s="38"/>
      <c r="I38" t="s">
        <v>53</v>
      </c>
      <c r="J38" t="s">
        <v>264</v>
      </c>
      <c r="K38" t="str">
        <f t="shared" si="1"/>
        <v>1.3</v>
      </c>
      <c r="L38" t="str">
        <f>IFERROR(LEFT(Tabel_Samleark13[[#This Row],[Punkt]],FIND(".",Tabel_Samleark13[[#This Row],[Punkt]])-1),"")</f>
        <v>1</v>
      </c>
      <c r="M38">
        <f>IF(Tabel_Samleark13[[#This Row],[Punkt]]="","",$B38)</f>
        <v>57023</v>
      </c>
      <c r="N38" t="str">
        <f>IF(Tabel_Samleark13[[#This Row],[Punkt]]="","",$D38)</f>
        <v>Gulv</v>
      </c>
      <c r="O38" t="str">
        <f>IF(Tabel_Samleark13[[#This Row],[Punkt]]="","",IF(G38&lt;&gt;"","Ja","Nej"))</f>
        <v>Nej</v>
      </c>
      <c r="P38" s="57" t="str">
        <f>IF(Tabel_Samleark13[[#This Row],[Overskriv faneværdier]]="Ja",$G38,IF($I38="Samleark",$F38,""))</f>
        <v/>
      </c>
    </row>
    <row r="39" spans="1:16" x14ac:dyDescent="0.25">
      <c r="A39" s="103"/>
      <c r="B39">
        <v>57013</v>
      </c>
      <c r="C39" t="s">
        <v>76</v>
      </c>
      <c r="D39" t="s">
        <v>77</v>
      </c>
      <c r="E39" s="34" t="str">
        <f t="shared" si="2"/>
        <v>Murer</v>
      </c>
      <c r="F39" s="1">
        <f t="shared" ca="1" si="3"/>
        <v>0</v>
      </c>
      <c r="G39" s="38"/>
      <c r="I39" t="s">
        <v>77</v>
      </c>
      <c r="J39" t="s">
        <v>263</v>
      </c>
      <c r="K39" t="str">
        <f t="shared" si="1"/>
        <v>1.4</v>
      </c>
      <c r="L39" t="str">
        <f>IFERROR(LEFT(Tabel_Samleark13[[#This Row],[Punkt]],FIND(".",Tabel_Samleark13[[#This Row],[Punkt]])-1),"")</f>
        <v>1</v>
      </c>
      <c r="M39">
        <f>IF(Tabel_Samleark13[[#This Row],[Punkt]]="","",$B39)</f>
        <v>57013</v>
      </c>
      <c r="N39" t="str">
        <f>IF(Tabel_Samleark13[[#This Row],[Punkt]]="","",$D39)</f>
        <v>Murer</v>
      </c>
      <c r="O39" t="str">
        <f>IF(Tabel_Samleark13[[#This Row],[Punkt]]="","",IF(G39&lt;&gt;"","Ja","Nej"))</f>
        <v>Nej</v>
      </c>
      <c r="P39" s="57" t="str">
        <f>IF(Tabel_Samleark13[[#This Row],[Overskriv faneværdier]]="Ja",$G39,IF($I39="Samleark",$F39,""))</f>
        <v/>
      </c>
    </row>
    <row r="40" spans="1:16" x14ac:dyDescent="0.25">
      <c r="A40" s="103"/>
      <c r="B40">
        <v>57024</v>
      </c>
      <c r="C40" t="s">
        <v>78</v>
      </c>
      <c r="D40" t="s">
        <v>79</v>
      </c>
      <c r="E40" s="34" t="str">
        <f t="shared" si="2"/>
        <v>Maler</v>
      </c>
      <c r="F40" s="1">
        <f t="shared" ca="1" si="3"/>
        <v>0</v>
      </c>
      <c r="G40" s="38"/>
      <c r="I40" t="s">
        <v>79</v>
      </c>
      <c r="J40" t="s">
        <v>263</v>
      </c>
      <c r="K40" t="str">
        <f t="shared" si="1"/>
        <v>1.5</v>
      </c>
      <c r="L40" t="str">
        <f>IFERROR(LEFT(Tabel_Samleark13[[#This Row],[Punkt]],FIND(".",Tabel_Samleark13[[#This Row],[Punkt]])-1),"")</f>
        <v>1</v>
      </c>
      <c r="M40">
        <f>IF(Tabel_Samleark13[[#This Row],[Punkt]]="","",$B40)</f>
        <v>57024</v>
      </c>
      <c r="N40" t="str">
        <f>IF(Tabel_Samleark13[[#This Row],[Punkt]]="","",$D40)</f>
        <v>Maler</v>
      </c>
      <c r="O40" t="str">
        <f>IF(Tabel_Samleark13[[#This Row],[Punkt]]="","",IF(G40&lt;&gt;"","Ja","Nej"))</f>
        <v>Nej</v>
      </c>
      <c r="P40" s="57" t="str">
        <f>IF(Tabel_Samleark13[[#This Row],[Overskriv faneværdier]]="Ja",$G40,IF($I40="Samleark",$F40,""))</f>
        <v/>
      </c>
    </row>
    <row r="41" spans="1:16" x14ac:dyDescent="0.25">
      <c r="A41" s="103"/>
      <c r="C41" t="s">
        <v>80</v>
      </c>
      <c r="D41" t="s">
        <v>81</v>
      </c>
      <c r="E41" s="34" t="str">
        <f>HYPERLINK("#"&amp;$I41&amp;"!Tabel_"&amp;$C41&amp;"_"&amp;IF($J41="Ja","Molio","SK")&amp;"[[Mængde]]",$I41)</f>
        <v>VVS</v>
      </c>
      <c r="F41" s="1">
        <f t="shared" ca="1" si="3"/>
        <v>0</v>
      </c>
      <c r="G41" s="38"/>
      <c r="I41" t="s">
        <v>81</v>
      </c>
      <c r="J41" t="s">
        <v>264</v>
      </c>
      <c r="K41" t="str">
        <f t="shared" si="1"/>
        <v>1.6</v>
      </c>
      <c r="L41" t="str">
        <f>IFERROR(LEFT(Tabel_Samleark13[[#This Row],[Punkt]],FIND(".",Tabel_Samleark13[[#This Row],[Punkt]])-1),"")</f>
        <v>1</v>
      </c>
      <c r="M41">
        <f>IF(Tabel_Samleark13[[#This Row],[Punkt]]="","",$B41)</f>
        <v>0</v>
      </c>
      <c r="N41" t="str">
        <f>IF(Tabel_Samleark13[[#This Row],[Punkt]]="","",$D41)</f>
        <v>VVS</v>
      </c>
      <c r="O41" t="str">
        <f>IF(Tabel_Samleark13[[#This Row],[Punkt]]="","",IF(G41&lt;&gt;"","Ja","Nej"))</f>
        <v>Nej</v>
      </c>
      <c r="P41" s="57" t="str">
        <f>IF(Tabel_Samleark13[[#This Row],[Overskriv faneværdier]]="Ja",$G41,IF($I41="Samleark",$F41,""))</f>
        <v/>
      </c>
    </row>
    <row r="42" spans="1:16" x14ac:dyDescent="0.25">
      <c r="A42" s="103"/>
      <c r="C42" t="s">
        <v>82</v>
      </c>
      <c r="D42" t="s">
        <v>83</v>
      </c>
      <c r="E42" s="34" t="str">
        <f>HYPERLINK("#"&amp;$I42&amp;"!Tabel_"&amp;$C42&amp;"_"&amp;IF($J42="Ja","Molio","SK")&amp;"[[Mængde]]",$I42)</f>
        <v>Ventilation</v>
      </c>
      <c r="F42" s="1">
        <f ca="1">SUM(INDIRECT("Tabel_"&amp;$C42&amp;"_SK[[m.
Den forventede værdi (middelværdi)]]"))
+IF($J42="Ja",SUM(INDIRECT("Tabel_"&amp;$C42&amp;"_Molio[[Beregnet budget]]")),0)</f>
        <v>0</v>
      </c>
      <c r="G42" s="38"/>
      <c r="I42" t="s">
        <v>83</v>
      </c>
      <c r="J42" t="s">
        <v>264</v>
      </c>
      <c r="K42" t="str">
        <f t="shared" si="1"/>
        <v>1.7</v>
      </c>
      <c r="L42" t="str">
        <f>IFERROR(LEFT(Tabel_Samleark13[[#This Row],[Punkt]],FIND(".",Tabel_Samleark13[[#This Row],[Punkt]])-1),"")</f>
        <v>1</v>
      </c>
      <c r="M42">
        <f>IF(Tabel_Samleark13[[#This Row],[Punkt]]="","",$B42)</f>
        <v>0</v>
      </c>
      <c r="N42" t="str">
        <f>IF(Tabel_Samleark13[[#This Row],[Punkt]]="","",$D42)</f>
        <v>Ventilation</v>
      </c>
      <c r="O42" t="str">
        <f>IF(Tabel_Samleark13[[#This Row],[Punkt]]="","",IF(G42&lt;&gt;"","Ja","Nej"))</f>
        <v>Nej</v>
      </c>
      <c r="P42" s="57" t="str">
        <f>IF(Tabel_Samleark13[[#This Row],[Overskriv faneværdier]]="Ja",$G42,IF($I42="Samleark",$F42,""))</f>
        <v/>
      </c>
    </row>
    <row r="43" spans="1:16" x14ac:dyDescent="0.25">
      <c r="A43" s="103"/>
      <c r="B43">
        <v>57048</v>
      </c>
      <c r="C43" t="s">
        <v>84</v>
      </c>
      <c r="D43" t="s">
        <v>244</v>
      </c>
      <c r="E43" s="34" t="str">
        <f t="shared" si="2"/>
        <v>El</v>
      </c>
      <c r="F43" s="1">
        <f t="shared" ca="1" si="3"/>
        <v>0</v>
      </c>
      <c r="G43" s="38"/>
      <c r="I43" t="s">
        <v>85</v>
      </c>
      <c r="J43" t="s">
        <v>264</v>
      </c>
      <c r="K43" t="str">
        <f t="shared" si="1"/>
        <v>1.8</v>
      </c>
      <c r="L43" t="str">
        <f>IFERROR(LEFT(Tabel_Samleark13[[#This Row],[Punkt]],FIND(".",Tabel_Samleark13[[#This Row],[Punkt]])-1),"")</f>
        <v>1</v>
      </c>
      <c r="M43">
        <f>IF(Tabel_Samleark13[[#This Row],[Punkt]]="","",$B43)</f>
        <v>57048</v>
      </c>
      <c r="N43" t="str">
        <f>IF(Tabel_Samleark13[[#This Row],[Punkt]]="","",$D43)</f>
        <v>Stærkstrøm</v>
      </c>
      <c r="O43" t="str">
        <f>IF(Tabel_Samleark13[[#This Row],[Punkt]]="","",IF(G43&lt;&gt;"","Ja","Nej"))</f>
        <v>Nej</v>
      </c>
      <c r="P43" s="57" t="str">
        <f>IF(Tabel_Samleark13[[#This Row],[Overskriv faneværdier]]="Ja",$G43,IF($I43="Samleark",$F43,""))</f>
        <v/>
      </c>
    </row>
    <row r="44" spans="1:16" x14ac:dyDescent="0.25">
      <c r="A44" s="103"/>
      <c r="B44">
        <v>57049</v>
      </c>
      <c r="C44" t="s">
        <v>86</v>
      </c>
      <c r="D44" t="s">
        <v>87</v>
      </c>
      <c r="E44" s="34" t="str">
        <f t="shared" si="2"/>
        <v>El</v>
      </c>
      <c r="F44" s="1">
        <f t="shared" ca="1" si="3"/>
        <v>0</v>
      </c>
      <c r="G44" s="38"/>
      <c r="I44" t="s">
        <v>85</v>
      </c>
      <c r="J44" t="s">
        <v>264</v>
      </c>
      <c r="K44" t="str">
        <f t="shared" si="1"/>
        <v>1.9</v>
      </c>
      <c r="L44" t="str">
        <f>IFERROR(LEFT(Tabel_Samleark13[[#This Row],[Punkt]],FIND(".",Tabel_Samleark13[[#This Row],[Punkt]])-1),"")</f>
        <v>1</v>
      </c>
      <c r="M44">
        <f>IF(Tabel_Samleark13[[#This Row],[Punkt]]="","",$B44)</f>
        <v>57049</v>
      </c>
      <c r="N44" t="str">
        <f>IF(Tabel_Samleark13[[#This Row],[Punkt]]="","",$D44)</f>
        <v>Svagstrøm</v>
      </c>
      <c r="O44" t="str">
        <f>IF(Tabel_Samleark13[[#This Row],[Punkt]]="","",IF(G44&lt;&gt;"","Ja","Nej"))</f>
        <v>Nej</v>
      </c>
      <c r="P44" s="57" t="str">
        <f>IF(Tabel_Samleark13[[#This Row],[Overskriv faneværdier]]="Ja",$G44,IF($I44="Samleark",$F44,""))</f>
        <v/>
      </c>
    </row>
    <row r="45" spans="1:16" x14ac:dyDescent="0.25">
      <c r="A45" s="100"/>
      <c r="B45">
        <v>57054</v>
      </c>
      <c r="C45" t="s">
        <v>88</v>
      </c>
      <c r="D45" t="s">
        <v>414</v>
      </c>
      <c r="E45" s="34" t="str">
        <f t="shared" si="2"/>
        <v>El</v>
      </c>
      <c r="F45" s="1">
        <f t="shared" ca="1" si="3"/>
        <v>0</v>
      </c>
      <c r="G45" s="38"/>
      <c r="I45" t="s">
        <v>85</v>
      </c>
      <c r="J45" t="s">
        <v>264</v>
      </c>
      <c r="K45" t="str">
        <f t="shared" si="1"/>
        <v>1.10</v>
      </c>
      <c r="L45" t="str">
        <f>IFERROR(LEFT(Tabel_Samleark13[[#This Row],[Punkt]],FIND(".",Tabel_Samleark13[[#This Row],[Punkt]])-1),"")</f>
        <v>1</v>
      </c>
      <c r="M45">
        <f>IF(Tabel_Samleark13[[#This Row],[Punkt]]="","",$B45)</f>
        <v>57054</v>
      </c>
      <c r="N45" t="str">
        <f>IF(Tabel_Samleark13[[#This Row],[Punkt]]="","",$D45)</f>
        <v>Særinstallationer</v>
      </c>
      <c r="O45" t="str">
        <f>IF(Tabel_Samleark13[[#This Row],[Punkt]]="","",IF(G45&lt;&gt;"","Ja","Nej"))</f>
        <v>Nej</v>
      </c>
      <c r="P45" s="57" t="str">
        <f>IF(Tabel_Samleark13[[#This Row],[Overskriv faneværdier]]="Ja",$G45,IF($I45="Samleark",$F45,""))</f>
        <v/>
      </c>
    </row>
    <row r="46" spans="1:16" x14ac:dyDescent="0.25">
      <c r="K46" t="str">
        <f t="shared" si="1"/>
        <v/>
      </c>
      <c r="L46" t="str">
        <f>IFERROR(LEFT(Tabel_Samleark13[[#This Row],[Punkt]],FIND(".",Tabel_Samleark13[[#This Row],[Punkt]])-1),"")</f>
        <v/>
      </c>
      <c r="M46" t="str">
        <f>IF(Tabel_Samleark13[[#This Row],[Punkt]]="","",$B46)</f>
        <v/>
      </c>
      <c r="N46" t="str">
        <f>IF(Tabel_Samleark13[[#This Row],[Punkt]]="","",$D46)</f>
        <v/>
      </c>
      <c r="O46" t="str">
        <f>IF(Tabel_Samleark13[[#This Row],[Punkt]]="","",IF(G46&lt;&gt;"","Ja","Nej"))</f>
        <v/>
      </c>
      <c r="P46" s="57" t="str">
        <f>IF(Tabel_Samleark13[[#This Row],[Overskriv faneværdier]]="Ja",$G46,IF($I46="Samleark",$F46,""))</f>
        <v/>
      </c>
    </row>
    <row r="47" spans="1:16" ht="15" customHeight="1" x14ac:dyDescent="0.25">
      <c r="A47" s="104" t="s">
        <v>338</v>
      </c>
      <c r="B47" s="49"/>
      <c r="C47" s="49" t="s">
        <v>93</v>
      </c>
      <c r="D47" s="49" t="s">
        <v>94</v>
      </c>
      <c r="E47" s="49" t="s">
        <v>298</v>
      </c>
      <c r="F47" s="50">
        <f ca="1">SUMIFS(F48:F50,$O48:$O50,"Nej")</f>
        <v>0</v>
      </c>
      <c r="G47" s="50">
        <f>SUM(G48:G50)</f>
        <v>0</v>
      </c>
      <c r="K47" t="str">
        <f t="shared" si="1"/>
        <v/>
      </c>
      <c r="L47" t="str">
        <f>IFERROR(LEFT(Tabel_Samleark13[[#This Row],[Punkt]],FIND(".",Tabel_Samleark13[[#This Row],[Punkt]])-1),"")</f>
        <v/>
      </c>
      <c r="M47" t="str">
        <f>IF(Tabel_Samleark13[[#This Row],[Punkt]]="","",$B47)</f>
        <v/>
      </c>
      <c r="N47" t="str">
        <f>IF(Tabel_Samleark13[[#This Row],[Punkt]]="","",$D47)</f>
        <v/>
      </c>
      <c r="O47" t="str">
        <f>IF(Tabel_Samleark13[[#This Row],[Punkt]]="","",IF(G47&lt;&gt;"","Ja","Nej"))</f>
        <v/>
      </c>
      <c r="P47" s="57" t="str">
        <f>IF(Tabel_Samleark13[[#This Row],[Overskriv faneværdier]]="Ja",$G47,IF($I47="Samleark",$F47,""))</f>
        <v/>
      </c>
    </row>
    <row r="48" spans="1:16" x14ac:dyDescent="0.25">
      <c r="A48" s="104"/>
      <c r="C48" t="s">
        <v>40</v>
      </c>
      <c r="D48" t="s">
        <v>52</v>
      </c>
      <c r="E48" s="34" t="str">
        <f t="shared" ref="E48:E50" si="4">HYPERLINK("#"&amp;$I48&amp;"!Tabel_"&amp;$C48&amp;"_"&amp;IF($J48="Ja","Molio","SK")&amp;"[[Mængde]]",$I48)</f>
        <v>Nedbrydning</v>
      </c>
      <c r="F48" s="1">
        <f t="shared" ref="F48:F50" ca="1" si="5">SUM(INDIRECT("Tabel_"&amp;$C48&amp;"_SK[[m.
Den forventede værdi (middelværdi)]]"))
+IF($J48="Ja",SUM(INDIRECT("Tabel_"&amp;$C48&amp;"_Molio[[Beregnet budget]]")),0)</f>
        <v>0</v>
      </c>
      <c r="G48" s="38"/>
      <c r="I48" t="s">
        <v>52</v>
      </c>
      <c r="J48" t="s">
        <v>263</v>
      </c>
      <c r="K48" t="str">
        <f t="shared" si="1"/>
        <v>2.1</v>
      </c>
      <c r="L48" t="str">
        <f>IFERROR(LEFT(Tabel_Samleark13[[#This Row],[Punkt]],FIND(".",Tabel_Samleark13[[#This Row],[Punkt]])-1),"")</f>
        <v>2</v>
      </c>
      <c r="M48">
        <f>IF(Tabel_Samleark13[[#This Row],[Punkt]]="","",$B48)</f>
        <v>0</v>
      </c>
      <c r="N48" t="str">
        <f>IF(Tabel_Samleark13[[#This Row],[Punkt]]="","",$D48)</f>
        <v>Nedbrydning</v>
      </c>
      <c r="O48" t="str">
        <f>IF(Tabel_Samleark13[[#This Row],[Punkt]]="","",IF(G48&lt;&gt;"","Ja","Nej"))</f>
        <v>Nej</v>
      </c>
      <c r="P48" s="57" t="str">
        <f>IF(Tabel_Samleark13[[#This Row],[Overskriv faneværdier]]="Ja",$G48,IF($I48="Samleark",$F48,""))</f>
        <v/>
      </c>
    </row>
    <row r="49" spans="1:16" x14ac:dyDescent="0.25">
      <c r="A49" s="104"/>
      <c r="C49" t="s">
        <v>66</v>
      </c>
      <c r="D49" t="s">
        <v>75</v>
      </c>
      <c r="E49" s="34" t="str">
        <f t="shared" si="4"/>
        <v>Tømrer</v>
      </c>
      <c r="F49" s="1">
        <f t="shared" ca="1" si="5"/>
        <v>0</v>
      </c>
      <c r="G49" s="38"/>
      <c r="I49" t="s">
        <v>75</v>
      </c>
      <c r="J49" t="s">
        <v>263</v>
      </c>
      <c r="K49" t="str">
        <f t="shared" si="1"/>
        <v>2.2</v>
      </c>
      <c r="L49" t="str">
        <f>IFERROR(LEFT(Tabel_Samleark13[[#This Row],[Punkt]],FIND(".",Tabel_Samleark13[[#This Row],[Punkt]])-1),"")</f>
        <v>2</v>
      </c>
      <c r="M49">
        <f>IF(Tabel_Samleark13[[#This Row],[Punkt]]="","",$B49)</f>
        <v>0</v>
      </c>
      <c r="N49" t="str">
        <f>IF(Tabel_Samleark13[[#This Row],[Punkt]]="","",$D49)</f>
        <v>Tømrer</v>
      </c>
      <c r="O49" t="str">
        <f>IF(Tabel_Samleark13[[#This Row],[Punkt]]="","",IF(G49&lt;&gt;"","Ja","Nej"))</f>
        <v>Nej</v>
      </c>
      <c r="P49" s="57" t="str">
        <f>IF(Tabel_Samleark13[[#This Row],[Overskriv faneværdier]]="Ja",$G49,IF($I49="Samleark",$F49,""))</f>
        <v/>
      </c>
    </row>
    <row r="50" spans="1:16" x14ac:dyDescent="0.25">
      <c r="A50" s="104"/>
      <c r="C50" t="s">
        <v>89</v>
      </c>
      <c r="D50" t="s">
        <v>90</v>
      </c>
      <c r="E50" s="34" t="str">
        <f t="shared" si="4"/>
        <v>Jord</v>
      </c>
      <c r="F50" s="1">
        <f t="shared" ca="1" si="5"/>
        <v>0</v>
      </c>
      <c r="G50" s="38"/>
      <c r="I50" t="s">
        <v>218</v>
      </c>
      <c r="J50" t="s">
        <v>263</v>
      </c>
      <c r="K50" t="str">
        <f t="shared" si="1"/>
        <v>2.3</v>
      </c>
      <c r="L50" t="str">
        <f>IFERROR(LEFT(Tabel_Samleark13[[#This Row],[Punkt]],FIND(".",Tabel_Samleark13[[#This Row],[Punkt]])-1),"")</f>
        <v>2</v>
      </c>
      <c r="M50">
        <f>IF(Tabel_Samleark13[[#This Row],[Punkt]]="","",$B50)</f>
        <v>0</v>
      </c>
      <c r="N50" t="str">
        <f>IF(Tabel_Samleark13[[#This Row],[Punkt]]="","",$D50)</f>
        <v>Anlægsarbejder i jord</v>
      </c>
      <c r="O50" t="str">
        <f>IF(Tabel_Samleark13[[#This Row],[Punkt]]="","",IF(G50&lt;&gt;"","Ja","Nej"))</f>
        <v>Nej</v>
      </c>
      <c r="P50" s="57" t="str">
        <f>IF(Tabel_Samleark13[[#This Row],[Overskriv faneværdier]]="Ja",$G50,IF($I50="Samleark",$F50,""))</f>
        <v/>
      </c>
    </row>
    <row r="51" spans="1:16" x14ac:dyDescent="0.25">
      <c r="A51" s="102"/>
      <c r="K51" t="str">
        <f t="shared" si="1"/>
        <v/>
      </c>
      <c r="L51" t="str">
        <f>IFERROR(LEFT(Tabel_Samleark13[[#This Row],[Punkt]],FIND(".",Tabel_Samleark13[[#This Row],[Punkt]])-1),"")</f>
        <v/>
      </c>
      <c r="M51" t="str">
        <f>IF(Tabel_Samleark13[[#This Row],[Punkt]]="","",$B51)</f>
        <v/>
      </c>
      <c r="N51" t="str">
        <f>IF(Tabel_Samleark13[[#This Row],[Punkt]]="","",$D51)</f>
        <v/>
      </c>
      <c r="O51" t="str">
        <f>IF(Tabel_Samleark13[[#This Row],[Punkt]]="","",IF(G51&lt;&gt;"","Ja","Nej"))</f>
        <v/>
      </c>
      <c r="P51" s="57" t="str">
        <f>IF(Tabel_Samleark13[[#This Row],[Overskriv faneværdier]]="Ja",$G51,IF($I51="Samleark",$F51,""))</f>
        <v/>
      </c>
    </row>
    <row r="52" spans="1:16" x14ac:dyDescent="0.25">
      <c r="A52" s="103" t="s">
        <v>339</v>
      </c>
      <c r="B52" s="49"/>
      <c r="C52" s="49" t="s">
        <v>272</v>
      </c>
      <c r="D52" s="49" t="s">
        <v>273</v>
      </c>
      <c r="E52" s="49" t="s">
        <v>299</v>
      </c>
      <c r="F52" s="50">
        <f ca="1">SUM(F53:F55)</f>
        <v>0</v>
      </c>
      <c r="G52" s="50"/>
      <c r="K52" t="str">
        <f t="shared" si="1"/>
        <v/>
      </c>
      <c r="L52" t="str">
        <f>IFERROR(LEFT(Tabel_Samleark13[[#This Row],[Punkt]],FIND(".",Tabel_Samleark13[[#This Row],[Punkt]])-1),"")</f>
        <v/>
      </c>
      <c r="M52" t="str">
        <f>IF(Tabel_Samleark13[[#This Row],[Punkt]]="","",$B52)</f>
        <v/>
      </c>
      <c r="N52" t="str">
        <f>IF(Tabel_Samleark13[[#This Row],[Punkt]]="","",$D52)</f>
        <v/>
      </c>
      <c r="O52" t="str">
        <f>IF(Tabel_Samleark13[[#This Row],[Punkt]]="","",IF(G52&lt;&gt;"","Ja","Nej"))</f>
        <v/>
      </c>
      <c r="P52" s="57" t="str">
        <f>IF(Tabel_Samleark13[[#This Row],[Overskriv faneværdier]]="Ja",$G52,IF($I52="Samleark",$F52,""))</f>
        <v/>
      </c>
    </row>
    <row r="53" spans="1:16" x14ac:dyDescent="0.25">
      <c r="A53" s="103"/>
      <c r="C53" t="s">
        <v>274</v>
      </c>
      <c r="D53" t="s">
        <v>275</v>
      </c>
      <c r="E53" s="67">
        <v>0.04</v>
      </c>
      <c r="F53" s="1">
        <f ca="1">SUM($F$33:$G$33)*$E53</f>
        <v>0</v>
      </c>
      <c r="I53" t="s">
        <v>301</v>
      </c>
      <c r="K53" t="str">
        <f t="shared" si="1"/>
        <v>3.1</v>
      </c>
      <c r="L53" t="str">
        <f>IFERROR(LEFT(Tabel_Samleark13[[#This Row],[Punkt]],FIND(".",Tabel_Samleark13[[#This Row],[Punkt]])-1),"")</f>
        <v>3</v>
      </c>
      <c r="M53">
        <f>IF(Tabel_Samleark13[[#This Row],[Punkt]]="","",$B53)</f>
        <v>0</v>
      </c>
      <c r="N53" t="str">
        <f>IF(Tabel_Samleark13[[#This Row],[Punkt]]="","",$D53)</f>
        <v>Byggepladsomkostninger (anstilling og nedtagning af byggeplads i byggeperioden)</v>
      </c>
      <c r="O53" t="str">
        <f>IF(Tabel_Samleark13[[#This Row],[Punkt]]="","",IF(G53&lt;&gt;"","Ja","Nej"))</f>
        <v>Nej</v>
      </c>
      <c r="P53" s="57">
        <f ca="1">IF(Tabel_Samleark13[[#This Row],[Overskriv faneværdier]]="Ja",$G53,IF($I53="Samleark",$F53,""))</f>
        <v>0</v>
      </c>
    </row>
    <row r="54" spans="1:16" x14ac:dyDescent="0.25">
      <c r="A54" s="103"/>
      <c r="C54" t="s">
        <v>276</v>
      </c>
      <c r="D54" t="s">
        <v>277</v>
      </c>
      <c r="E54" s="67">
        <v>0.02</v>
      </c>
      <c r="F54" s="1">
        <f ca="1">SUM($F$33:$G$33)*$E54</f>
        <v>0</v>
      </c>
      <c r="I54" t="s">
        <v>301</v>
      </c>
      <c r="K54" t="str">
        <f t="shared" si="1"/>
        <v>3.2</v>
      </c>
      <c r="L54" t="str">
        <f>IFERROR(LEFT(Tabel_Samleark13[[#This Row],[Punkt]],FIND(".",Tabel_Samleark13[[#This Row],[Punkt]])-1),"")</f>
        <v>3</v>
      </c>
      <c r="M54">
        <f>IF(Tabel_Samleark13[[#This Row],[Punkt]]="","",$B54)</f>
        <v>0</v>
      </c>
      <c r="N54" t="str">
        <f>IF(Tabel_Samleark13[[#This Row],[Punkt]]="","",$D54)</f>
        <v>Vinterforanstaltninger</v>
      </c>
      <c r="O54" t="str">
        <f>IF(Tabel_Samleark13[[#This Row],[Punkt]]="","",IF(G54&lt;&gt;"","Ja","Nej"))</f>
        <v>Nej</v>
      </c>
      <c r="P54" s="57">
        <f ca="1">IF(Tabel_Samleark13[[#This Row],[Overskriv faneværdier]]="Ja",$G54,IF($I54="Samleark",$F54,""))</f>
        <v>0</v>
      </c>
    </row>
    <row r="55" spans="1:16" x14ac:dyDescent="0.25">
      <c r="A55" s="100"/>
      <c r="C55" t="s">
        <v>278</v>
      </c>
      <c r="D55" t="s">
        <v>279</v>
      </c>
      <c r="E55" s="67">
        <v>0.08</v>
      </c>
      <c r="F55" s="1">
        <f ca="1">SUM($F$33:$G$33)*$E55</f>
        <v>0</v>
      </c>
      <c r="I55" t="s">
        <v>301</v>
      </c>
      <c r="K55" t="str">
        <f t="shared" si="1"/>
        <v>3.3</v>
      </c>
      <c r="L55" t="str">
        <f>IFERROR(LEFT(Tabel_Samleark13[[#This Row],[Punkt]],FIND(".",Tabel_Samleark13[[#This Row],[Punkt]])-1),"")</f>
        <v>3</v>
      </c>
      <c r="M55">
        <f>IF(Tabel_Samleark13[[#This Row],[Punkt]]="","",$B55)</f>
        <v>0</v>
      </c>
      <c r="N55" t="str">
        <f>IF(Tabel_Samleark13[[#This Row],[Punkt]]="","",$D55)</f>
        <v>Bæredygtighed (Certificeringsmulighed, materiale, komponenter mv.)</v>
      </c>
      <c r="O55" t="str">
        <f>IF(Tabel_Samleark13[[#This Row],[Punkt]]="","",IF(G55&lt;&gt;"","Ja","Nej"))</f>
        <v>Nej</v>
      </c>
      <c r="P55" s="57">
        <f ca="1">IF(Tabel_Samleark13[[#This Row],[Overskriv faneværdier]]="Ja",$G55,IF($I55="Samleark",$F55,""))</f>
        <v>0</v>
      </c>
    </row>
    <row r="56" spans="1:16" x14ac:dyDescent="0.25">
      <c r="K56" t="str">
        <f t="shared" si="1"/>
        <v/>
      </c>
      <c r="L56" t="str">
        <f>IFERROR(LEFT(Tabel_Samleark13[[#This Row],[Punkt]],FIND(".",Tabel_Samleark13[[#This Row],[Punkt]])-1),"")</f>
        <v/>
      </c>
      <c r="M56" t="str">
        <f>IF(Tabel_Samleark13[[#This Row],[Punkt]]="","",$B56)</f>
        <v/>
      </c>
      <c r="N56" t="str">
        <f>IF(Tabel_Samleark13[[#This Row],[Punkt]]="","",$D56)</f>
        <v/>
      </c>
      <c r="O56" t="str">
        <f>IF(Tabel_Samleark13[[#This Row],[Punkt]]="","",IF(G56&lt;&gt;"","Ja","Nej"))</f>
        <v/>
      </c>
      <c r="P56" s="57" t="str">
        <f>IF(Tabel_Samleark13[[#This Row],[Overskriv faneværdier]]="Ja",$G56,IF($I56="Samleark",$F56,""))</f>
        <v/>
      </c>
    </row>
    <row r="57" spans="1:16" ht="15" customHeight="1" x14ac:dyDescent="0.25">
      <c r="A57" s="104" t="s">
        <v>340</v>
      </c>
      <c r="B57" s="43"/>
      <c r="C57" s="43" t="s">
        <v>415</v>
      </c>
      <c r="D57" s="43" t="s">
        <v>398</v>
      </c>
      <c r="E57" s="44" t="s">
        <v>298</v>
      </c>
      <c r="F57" s="45">
        <f ca="1">SUMIFS(F58:F59,$O58:$O59,"Nej")</f>
        <v>0</v>
      </c>
      <c r="G57" s="45">
        <f>SUM(G58:G59)</f>
        <v>0</v>
      </c>
      <c r="K57" t="str">
        <f>IF(I57="","",C57)</f>
        <v/>
      </c>
      <c r="L57" t="str">
        <f>IFERROR(LEFT(Tabel_Samleark13[[#This Row],[Punkt]],FIND(".",Tabel_Samleark13[[#This Row],[Punkt]])-1),"")</f>
        <v/>
      </c>
      <c r="M57" t="str">
        <f>IF(Tabel_Samleark13[[#This Row],[Punkt]]="","",$B57)</f>
        <v/>
      </c>
      <c r="N57" t="str">
        <f>IF(Tabel_Samleark13[[#This Row],[Punkt]]="","",$D57)</f>
        <v/>
      </c>
      <c r="O57" t="str">
        <f>IF(Tabel_Samleark13[[#This Row],[Punkt]]="","",IF(G57&lt;&gt;"","Ja","Nej"))</f>
        <v/>
      </c>
      <c r="P57" s="57" t="str">
        <f>IF(Tabel_Samleark13[[#This Row],[Overskriv faneværdier]]="Ja",$G57,IF($I57="Samleark",$F57,""))</f>
        <v/>
      </c>
    </row>
    <row r="58" spans="1:16" x14ac:dyDescent="0.25">
      <c r="A58" s="104"/>
      <c r="B58">
        <v>57073</v>
      </c>
      <c r="C58" t="s">
        <v>208</v>
      </c>
      <c r="D58" t="s">
        <v>282</v>
      </c>
      <c r="E58" s="34" t="str">
        <f t="shared" ref="E58:E59" si="6">HYPERLINK("#"&amp;$I58&amp;"!Tabel_"&amp;$C58&amp;"_"&amp;IF($J58="Ja","Molio","SK")&amp;"[[Mængde]]",$I58)</f>
        <v>Inventar</v>
      </c>
      <c r="F58" s="1">
        <f t="shared" ref="F58" ca="1" si="7">SUM(INDIRECT("Tabel_"&amp;$C58&amp;"_SK[[m.
Den forventede værdi (middelværdi)]]"))
+IF($J58="Ja",SUM(INDIRECT("Tabel_"&amp;$C58&amp;"_Molio[[Beregnet budget]]")),0)</f>
        <v>0</v>
      </c>
      <c r="G58" s="38"/>
      <c r="I58" t="s">
        <v>243</v>
      </c>
      <c r="J58" t="s">
        <v>263</v>
      </c>
      <c r="K58" t="str">
        <f t="shared" si="1"/>
        <v>4.1</v>
      </c>
      <c r="L58" t="str">
        <f>IFERROR(LEFT(Tabel_Samleark13[[#This Row],[Punkt]],FIND(".",Tabel_Samleark13[[#This Row],[Punkt]])-1),"")</f>
        <v>4</v>
      </c>
      <c r="M58">
        <f>IF(Tabel_Samleark13[[#This Row],[Punkt]]="","",$B58)</f>
        <v>57073</v>
      </c>
      <c r="N58" t="str">
        <f>IF(Tabel_Samleark13[[#This Row],[Punkt]]="","",$D58)</f>
        <v>Løst Inventar</v>
      </c>
      <c r="O58" t="str">
        <f>IF(Tabel_Samleark13[[#This Row],[Punkt]]="","",IF(G58&lt;&gt;"","Ja","Nej"))</f>
        <v>Nej</v>
      </c>
      <c r="P58" s="57" t="str">
        <f>IF(Tabel_Samleark13[[#This Row],[Overskriv faneværdier]]="Ja",$G58,IF($I58="Samleark",$F58,""))</f>
        <v/>
      </c>
    </row>
    <row r="59" spans="1:16" x14ac:dyDescent="0.25">
      <c r="A59" s="104"/>
      <c r="B59">
        <v>57005</v>
      </c>
      <c r="C59" t="s">
        <v>416</v>
      </c>
      <c r="D59" t="s">
        <v>283</v>
      </c>
      <c r="E59" s="34" t="str">
        <f t="shared" si="6"/>
        <v>Inventar</v>
      </c>
      <c r="F59" s="1">
        <f ca="1">SUM(INDIRECT("Tabel_"&amp;$C59&amp;"_SK[[m.
Den forventede værdi (middelværdi)]]"))
+IF($J59="Ja",SUM(INDIRECT("Tabel_"&amp;$C59&amp;"_Molio[[Beregnet budget]]")),0)</f>
        <v>0</v>
      </c>
      <c r="G59" s="38"/>
      <c r="I59" t="s">
        <v>243</v>
      </c>
      <c r="J59" t="s">
        <v>263</v>
      </c>
      <c r="K59" t="str">
        <f t="shared" si="1"/>
        <v>4.2</v>
      </c>
      <c r="L59" t="str">
        <f>IFERROR(LEFT(Tabel_Samleark13[[#This Row],[Punkt]],FIND(".",Tabel_Samleark13[[#This Row],[Punkt]])-1),"")</f>
        <v>4</v>
      </c>
      <c r="M59">
        <f>IF(Tabel_Samleark13[[#This Row],[Punkt]]="","",$B59)</f>
        <v>57005</v>
      </c>
      <c r="N59" t="str">
        <f>IF(Tabel_Samleark13[[#This Row],[Punkt]]="","",$D59)</f>
        <v>Fast Inventar</v>
      </c>
      <c r="O59" t="str">
        <f>IF(Tabel_Samleark13[[#This Row],[Punkt]]="","",IF(G59&lt;&gt;"","Ja","Nej"))</f>
        <v>Nej</v>
      </c>
      <c r="P59" s="57" t="str">
        <f>IF(Tabel_Samleark13[[#This Row],[Overskriv faneværdier]]="Ja",$G59,IF($I59="Samleark",$F59,""))</f>
        <v/>
      </c>
    </row>
    <row r="60" spans="1:16" x14ac:dyDescent="0.25">
      <c r="A60" s="102"/>
      <c r="E60" s="34"/>
      <c r="F60" s="1"/>
      <c r="G60" s="101"/>
      <c r="K60" t="str">
        <f t="shared" ref="K60:K69" si="8">IF(I60="","",C61)</f>
        <v/>
      </c>
      <c r="L60" t="str">
        <f>IFERROR(LEFT(Tabel_Samleark13[[#This Row],[Punkt]],FIND(".",Tabel_Samleark13[[#This Row],[Punkt]])-1),"")</f>
        <v/>
      </c>
      <c r="M60" t="str">
        <f>IF(Tabel_Samleark13[[#This Row],[Punkt]]="","",$B61)</f>
        <v/>
      </c>
      <c r="N60" t="str">
        <f>IF(Tabel_Samleark13[[#This Row],[Punkt]]="","",$D61)</f>
        <v/>
      </c>
      <c r="O60" t="str">
        <f>IF(Tabel_Samleark13[[#This Row],[Punkt]]="","",IF(G61&lt;&gt;"","Ja","Nej"))</f>
        <v/>
      </c>
      <c r="P60" s="57" t="str">
        <f>IF(Tabel_Samleark13[[#This Row],[Overskriv faneværdier]]="Ja",$G61,IF($I60="Samleark",$F61,""))</f>
        <v/>
      </c>
    </row>
    <row r="61" spans="1:16" x14ac:dyDescent="0.25">
      <c r="A61" s="69" t="s">
        <v>339</v>
      </c>
      <c r="B61" s="43"/>
      <c r="C61" s="43" t="s">
        <v>424</v>
      </c>
      <c r="D61" s="43" t="s">
        <v>284</v>
      </c>
      <c r="E61" s="44" t="s">
        <v>300</v>
      </c>
      <c r="F61" s="45">
        <f ca="1">SUM(F62:F68)</f>
        <v>0</v>
      </c>
      <c r="G61" s="45"/>
      <c r="I61" t="s">
        <v>301</v>
      </c>
      <c r="K61" t="str">
        <f t="shared" si="8"/>
        <v>5.1</v>
      </c>
      <c r="L61" t="str">
        <f>IFERROR(LEFT(Tabel_Samleark13[[#This Row],[Punkt]],FIND(".",Tabel_Samleark13[[#This Row],[Punkt]])-1),"")</f>
        <v>5</v>
      </c>
      <c r="M61">
        <f>IF(Tabel_Samleark13[[#This Row],[Punkt]]="","",$B62)</f>
        <v>0</v>
      </c>
      <c r="N61" t="str">
        <f>IF(Tabel_Samleark13[[#This Row],[Punkt]]="","",$D62)</f>
        <v>Uforudsete udgifter</v>
      </c>
      <c r="O61" t="str">
        <f>IF(Tabel_Samleark13[[#This Row],[Punkt]]="","",IF(G62&lt;&gt;"","Ja","Nej"))</f>
        <v>Nej</v>
      </c>
      <c r="P61" s="57">
        <f ca="1">IF(Tabel_Samleark13[[#This Row],[Overskriv faneværdier]]="Ja",$G62,IF($I61="Samleark",$F62,""))</f>
        <v>0</v>
      </c>
    </row>
    <row r="62" spans="1:16" ht="30" x14ac:dyDescent="0.25">
      <c r="A62" s="69" t="s">
        <v>341</v>
      </c>
      <c r="C62" t="s">
        <v>216</v>
      </c>
      <c r="D62" t="s">
        <v>290</v>
      </c>
      <c r="E62" s="67">
        <v>0.2</v>
      </c>
      <c r="F62" s="1">
        <f ca="1">SUM($F$32:$G$32)*$E62</f>
        <v>0</v>
      </c>
      <c r="I62" t="s">
        <v>301</v>
      </c>
      <c r="K62" t="str">
        <f t="shared" si="8"/>
        <v>5.2</v>
      </c>
      <c r="L62" t="str">
        <f>IFERROR(LEFT(Tabel_Samleark13[[#This Row],[Punkt]],FIND(".",Tabel_Samleark13[[#This Row],[Punkt]])-1),"")</f>
        <v>5</v>
      </c>
      <c r="M62">
        <f>IF(Tabel_Samleark13[[#This Row],[Punkt]]="","",$B63)</f>
        <v>0</v>
      </c>
      <c r="N62" t="str">
        <f>IF(Tabel_Samleark13[[#This Row],[Punkt]]="","",$D63)</f>
        <v>Rådgiverhonorar</v>
      </c>
      <c r="O62" t="str">
        <f>IF(Tabel_Samleark13[[#This Row],[Punkt]]="","",IF(G63&lt;&gt;"","Ja","Nej"))</f>
        <v>Nej</v>
      </c>
      <c r="P62" s="57">
        <f ca="1">IF(Tabel_Samleark13[[#This Row],[Overskriv faneværdier]]="Ja",$G63,IF($I62="Samleark",$F63,""))</f>
        <v>0</v>
      </c>
    </row>
    <row r="63" spans="1:16" x14ac:dyDescent="0.25">
      <c r="A63" s="69" t="s">
        <v>342</v>
      </c>
      <c r="C63" t="s">
        <v>425</v>
      </c>
      <c r="D63" t="s">
        <v>291</v>
      </c>
      <c r="E63" s="67">
        <v>0.2</v>
      </c>
      <c r="F63" s="1">
        <f ca="1">SUM($F$32:$G$32)*$E63</f>
        <v>0</v>
      </c>
      <c r="I63" t="s">
        <v>301</v>
      </c>
      <c r="K63" t="str">
        <f t="shared" si="8"/>
        <v>5.3</v>
      </c>
      <c r="L63" t="str">
        <f>IFERROR(LEFT(Tabel_Samleark13[[#This Row],[Punkt]],FIND(".",Tabel_Samleark13[[#This Row],[Punkt]])-1),"")</f>
        <v>5</v>
      </c>
      <c r="M63">
        <f>IF(Tabel_Samleark13[[#This Row],[Punkt]]="","",$B64)</f>
        <v>0</v>
      </c>
      <c r="N63" t="str">
        <f>IF(Tabel_Samleark13[[#This Row],[Punkt]]="","",$D64)</f>
        <v>DALUX</v>
      </c>
      <c r="O63" t="str">
        <f>IF(Tabel_Samleark13[[#This Row],[Punkt]]="","",IF(G64&lt;&gt;"","Ja","Nej"))</f>
        <v>Nej</v>
      </c>
      <c r="P63" s="57">
        <f>IF(Tabel_Samleark13[[#This Row],[Overskriv faneværdier]]="Ja",$G64,IF($I63="Samleark",$F64,""))</f>
        <v>0</v>
      </c>
    </row>
    <row r="64" spans="1:16" x14ac:dyDescent="0.25">
      <c r="A64" s="69" t="s">
        <v>342</v>
      </c>
      <c r="C64" t="s">
        <v>426</v>
      </c>
      <c r="D64" t="s">
        <v>292</v>
      </c>
      <c r="F64" s="38"/>
      <c r="I64" t="s">
        <v>301</v>
      </c>
      <c r="K64" t="str">
        <f t="shared" si="8"/>
        <v>5.4</v>
      </c>
      <c r="L64" t="str">
        <f>IFERROR(LEFT(Tabel_Samleark13[[#This Row],[Punkt]],FIND(".",Tabel_Samleark13[[#This Row],[Punkt]])-1),"")</f>
        <v>5</v>
      </c>
      <c r="M64">
        <f>IF(Tabel_Samleark13[[#This Row],[Punkt]]="","",$B65)</f>
        <v>0</v>
      </c>
      <c r="N64" t="str">
        <f>IF(Tabel_Samleark13[[#This Row],[Punkt]]="","",$D65)</f>
        <v>Rengøring</v>
      </c>
      <c r="O64" t="str">
        <f>IF(Tabel_Samleark13[[#This Row],[Punkt]]="","",IF(G65&lt;&gt;"","Ja","Nej"))</f>
        <v>Nej</v>
      </c>
      <c r="P64" s="57">
        <f>IF(Tabel_Samleark13[[#This Row],[Overskriv faneværdier]]="Ja",$G65,IF($I64="Samleark",$F65,""))</f>
        <v>0</v>
      </c>
    </row>
    <row r="65" spans="1:16" x14ac:dyDescent="0.25">
      <c r="A65" s="69" t="s">
        <v>343</v>
      </c>
      <c r="C65" t="s">
        <v>427</v>
      </c>
      <c r="D65" t="s">
        <v>293</v>
      </c>
      <c r="F65" s="38"/>
      <c r="I65" t="s">
        <v>301</v>
      </c>
      <c r="K65" t="str">
        <f t="shared" si="8"/>
        <v>5.5</v>
      </c>
      <c r="L65" t="str">
        <f>IFERROR(LEFT(Tabel_Samleark13[[#This Row],[Punkt]],FIND(".",Tabel_Samleark13[[#This Row],[Punkt]])-1),"")</f>
        <v>5</v>
      </c>
      <c r="M65">
        <f>IF(Tabel_Samleark13[[#This Row],[Punkt]]="","",$B66)</f>
        <v>0</v>
      </c>
      <c r="N65" t="str">
        <f>IF(Tabel_Samleark13[[#This Row],[Punkt]]="","",$D66)</f>
        <v>Myndighedsbehandling</v>
      </c>
      <c r="O65" t="str">
        <f>IF(Tabel_Samleark13[[#This Row],[Punkt]]="","",IF(G66&lt;&gt;"","Ja","Nej"))</f>
        <v>Nej</v>
      </c>
      <c r="P65" s="57">
        <f>IF(Tabel_Samleark13[[#This Row],[Overskriv faneværdier]]="Ja",$G66,IF($I65="Samleark",$F66,""))</f>
        <v>0</v>
      </c>
    </row>
    <row r="66" spans="1:16" x14ac:dyDescent="0.25">
      <c r="A66" s="69" t="s">
        <v>342</v>
      </c>
      <c r="C66" t="s">
        <v>428</v>
      </c>
      <c r="D66" t="s">
        <v>294</v>
      </c>
      <c r="F66" s="38"/>
      <c r="I66" t="s">
        <v>301</v>
      </c>
      <c r="K66" t="str">
        <f t="shared" si="8"/>
        <v>5.6</v>
      </c>
      <c r="L66" t="str">
        <f>IFERROR(LEFT(Tabel_Samleark13[[#This Row],[Punkt]],FIND(".",Tabel_Samleark13[[#This Row],[Punkt]])-1),"")</f>
        <v>5</v>
      </c>
      <c r="M66">
        <f>IF(Tabel_Samleark13[[#This Row],[Punkt]]="","",$B67)</f>
        <v>0</v>
      </c>
      <c r="N66" t="str">
        <f>IF(Tabel_Samleark13[[#This Row],[Punkt]]="","",$D67)</f>
        <v>Flytteomkostninger</v>
      </c>
      <c r="O66" t="str">
        <f>IF(Tabel_Samleark13[[#This Row],[Punkt]]="","",IF(G67&lt;&gt;"","Ja","Nej"))</f>
        <v>Nej</v>
      </c>
      <c r="P66" s="57">
        <f>IF(Tabel_Samleark13[[#This Row],[Overskriv faneværdier]]="Ja",$G67,IF($I66="Samleark",$F67,""))</f>
        <v>0</v>
      </c>
    </row>
    <row r="67" spans="1:16" x14ac:dyDescent="0.25">
      <c r="A67" s="69" t="s">
        <v>342</v>
      </c>
      <c r="C67" t="s">
        <v>429</v>
      </c>
      <c r="D67" t="s">
        <v>321</v>
      </c>
      <c r="F67" s="38"/>
      <c r="I67" t="s">
        <v>301</v>
      </c>
      <c r="K67" t="str">
        <f t="shared" si="8"/>
        <v>5.7</v>
      </c>
      <c r="L67" t="str">
        <f>IFERROR(LEFT(Tabel_Samleark13[[#This Row],[Punkt]],FIND(".",Tabel_Samleark13[[#This Row],[Punkt]])-1),"")</f>
        <v>5</v>
      </c>
      <c r="M67">
        <f>IF(Tabel_Samleark13[[#This Row],[Punkt]]="","",$B68)</f>
        <v>0</v>
      </c>
      <c r="N67" t="str">
        <f>IF(Tabel_Samleark13[[#This Row],[Punkt]]="","",$D68)</f>
        <v>Reetableringsomkostninger</v>
      </c>
      <c r="O67" t="str">
        <f>IF(Tabel_Samleark13[[#This Row],[Punkt]]="","",IF(G68&lt;&gt;"","Ja","Nej"))</f>
        <v>Nej</v>
      </c>
      <c r="P67" s="57">
        <f>IF(Tabel_Samleark13[[#This Row],[Overskriv faneværdier]]="Ja",$G68,IF($I67="Samleark",$F68,""))</f>
        <v>0</v>
      </c>
    </row>
    <row r="68" spans="1:16" x14ac:dyDescent="0.25">
      <c r="A68" s="68"/>
      <c r="C68" t="s">
        <v>430</v>
      </c>
      <c r="D68" t="s">
        <v>322</v>
      </c>
      <c r="F68" s="38"/>
      <c r="K68" t="str">
        <f t="shared" si="8"/>
        <v/>
      </c>
      <c r="L68" t="str">
        <f>IFERROR(LEFT(Tabel_Samleark13[[#This Row],[Punkt]],FIND(".",Tabel_Samleark13[[#This Row],[Punkt]])-1),"")</f>
        <v/>
      </c>
      <c r="M68" t="str">
        <f>IF(Tabel_Samleark13[[#This Row],[Punkt]]="","",$B69)</f>
        <v/>
      </c>
      <c r="N68" t="str">
        <f>IF(Tabel_Samleark13[[#This Row],[Punkt]]="","",$D69)</f>
        <v/>
      </c>
      <c r="O68" t="str">
        <f>IF(Tabel_Samleark13[[#This Row],[Punkt]]="","",IF(G69&lt;&gt;"","Ja","Nej"))</f>
        <v/>
      </c>
      <c r="P68" s="57" t="str">
        <f>IF(Tabel_Samleark13[[#This Row],[Overskriv faneværdier]]="Ja",$G69,IF($I68="Samleark",$F69,""))</f>
        <v/>
      </c>
    </row>
    <row r="69" spans="1:16" x14ac:dyDescent="0.25">
      <c r="A69" s="68"/>
      <c r="I69" t="s">
        <v>301</v>
      </c>
      <c r="K69">
        <f t="shared" si="8"/>
        <v>0</v>
      </c>
      <c r="L69" t="str">
        <f>IFERROR(LEFT(Tabel_Samleark13[[#This Row],[Punkt]],FIND(".",Tabel_Samleark13[[#This Row],[Punkt]])-1),"")</f>
        <v/>
      </c>
      <c r="M69">
        <f>IF(Tabel_Samleark13[[#This Row],[Punkt]]="","",$B70)</f>
        <v>0</v>
      </c>
      <c r="N69" t="str">
        <f>IF(Tabel_Samleark13[[#This Row],[Punkt]]="","",$D70)</f>
        <v>Oprunding til nærmeste 100.000 kr.</v>
      </c>
      <c r="O69" t="str">
        <f>IF(Tabel_Samleark13[[#This Row],[Punkt]]="","",IF(G70&lt;&gt;"","Ja","Nej"))</f>
        <v>Nej</v>
      </c>
      <c r="P69" s="57">
        <f ca="1">IF(Tabel_Samleark13[[#This Row],[Overskriv faneværdier]]="Ja",$G70,IF($I69="Samleark",$F70,""))</f>
        <v>0</v>
      </c>
    </row>
    <row r="70" spans="1:16" x14ac:dyDescent="0.25">
      <c r="D70" t="s">
        <v>304</v>
      </c>
      <c r="F70" s="1">
        <f ca="1">ROUNDUP(SUM(F$32:G$32,F$57:G$57,F$61),-5)-SUM(F$32:G$32,F$57:G$57,F$61)</f>
        <v>0</v>
      </c>
    </row>
    <row r="71" spans="1:16" x14ac:dyDescent="0.25">
      <c r="A71" s="69" t="s">
        <v>448</v>
      </c>
      <c r="B71" s="51"/>
      <c r="C71" s="51"/>
      <c r="D71" s="52" t="s">
        <v>305</v>
      </c>
      <c r="E71" s="70">
        <v>114.6</v>
      </c>
      <c r="F71" s="53">
        <f ca="1">SUM(F$32:G$32,F$57:G$57,F$61,F$70)</f>
        <v>0</v>
      </c>
      <c r="G71" s="71" t="str">
        <f>HYPERLINK("https://molio.dk/produkter/digitale-vaerktojer/gratis-vaerktojer/byggeriets-prisindekser/byggeomkostningsindeks-for-boliger-2015","Molios prisindeks")</f>
        <v>Molios prisindeks</v>
      </c>
    </row>
    <row r="72" spans="1:16" x14ac:dyDescent="0.25">
      <c r="A72" s="69" t="s">
        <v>344</v>
      </c>
      <c r="D72" t="s">
        <v>295</v>
      </c>
      <c r="E72" s="55">
        <v>114.6</v>
      </c>
      <c r="F72" s="36">
        <f ca="1">F71/E71*E72</f>
        <v>0</v>
      </c>
    </row>
    <row r="73" spans="1:16" x14ac:dyDescent="0.25">
      <c r="A73" s="69" t="s">
        <v>345</v>
      </c>
      <c r="D73" t="s">
        <v>296</v>
      </c>
      <c r="E73" s="56"/>
      <c r="F73" s="1" t="str">
        <f ca="1">IFERROR(ROUNDUP(F72/E73,-1),"")</f>
        <v/>
      </c>
    </row>
    <row r="74" spans="1:16" x14ac:dyDescent="0.25">
      <c r="A74" s="69"/>
      <c r="K74" s="33" t="s">
        <v>323</v>
      </c>
    </row>
    <row r="75" spans="1:16" ht="20.25" thickBot="1" x14ac:dyDescent="0.35">
      <c r="B75" s="37" t="s">
        <v>323</v>
      </c>
      <c r="C75" s="37"/>
      <c r="D75" s="37"/>
      <c r="E75" s="37"/>
      <c r="F75" s="37"/>
      <c r="G75" s="37"/>
      <c r="K75" t="s">
        <v>324</v>
      </c>
      <c r="L75" t="s">
        <v>325</v>
      </c>
    </row>
    <row r="76" spans="1:16" ht="15.75" thickTop="1" x14ac:dyDescent="0.25">
      <c r="A76" s="103" t="s">
        <v>346</v>
      </c>
      <c r="C76" s="39" t="s">
        <v>324</v>
      </c>
      <c r="D76" s="33"/>
      <c r="E76" s="33" t="s">
        <v>325</v>
      </c>
      <c r="F76" s="33" t="s">
        <v>271</v>
      </c>
      <c r="G76" s="33" t="s">
        <v>326</v>
      </c>
      <c r="K76">
        <f t="shared" ref="K76:K81" si="9">C77</f>
        <v>2025</v>
      </c>
      <c r="L76" s="40">
        <f t="shared" ref="L76:L81" si="10">E77</f>
        <v>0</v>
      </c>
    </row>
    <row r="77" spans="1:16" x14ac:dyDescent="0.25">
      <c r="A77" s="103"/>
      <c r="C77" s="66">
        <f>YEAR(C23)</f>
        <v>2025</v>
      </c>
      <c r="E77" s="41"/>
      <c r="F77" s="1">
        <f ca="1">$F$71*$E77</f>
        <v>0</v>
      </c>
      <c r="G77" s="1">
        <f ca="1">F77*(1-$C$25)</f>
        <v>0</v>
      </c>
      <c r="K77">
        <f t="shared" si="9"/>
        <v>2026</v>
      </c>
      <c r="L77" s="40">
        <f t="shared" si="10"/>
        <v>0</v>
      </c>
    </row>
    <row r="78" spans="1:16" x14ac:dyDescent="0.25">
      <c r="A78" s="103"/>
      <c r="C78" s="66">
        <f>C77+1</f>
        <v>2026</v>
      </c>
      <c r="E78" s="41"/>
      <c r="F78" s="1">
        <f ca="1">$F$71*$E78</f>
        <v>0</v>
      </c>
      <c r="G78" s="1">
        <f ca="1">F78*(1-$C$25)</f>
        <v>0</v>
      </c>
      <c r="K78">
        <f t="shared" si="9"/>
        <v>2027</v>
      </c>
      <c r="L78" s="40">
        <f t="shared" si="10"/>
        <v>0</v>
      </c>
    </row>
    <row r="79" spans="1:16" x14ac:dyDescent="0.25">
      <c r="A79" s="103"/>
      <c r="C79" s="66">
        <f>C78+1</f>
        <v>2027</v>
      </c>
      <c r="E79" s="41"/>
      <c r="F79" s="1">
        <f t="shared" ref="F79:F82" ca="1" si="11">$F$71*$E79</f>
        <v>0</v>
      </c>
      <c r="G79" s="1">
        <f t="shared" ref="G79:G82" ca="1" si="12">F79*(1-$C$25)</f>
        <v>0</v>
      </c>
      <c r="K79">
        <f t="shared" si="9"/>
        <v>2028</v>
      </c>
      <c r="L79" s="40">
        <f t="shared" si="10"/>
        <v>0</v>
      </c>
    </row>
    <row r="80" spans="1:16" x14ac:dyDescent="0.25">
      <c r="C80" s="66">
        <f>C79+1</f>
        <v>2028</v>
      </c>
      <c r="E80" s="41"/>
      <c r="F80" s="1">
        <f t="shared" ca="1" si="11"/>
        <v>0</v>
      </c>
      <c r="G80" s="1">
        <f t="shared" ca="1" si="12"/>
        <v>0</v>
      </c>
      <c r="K80">
        <f t="shared" si="9"/>
        <v>2029</v>
      </c>
      <c r="L80" s="40">
        <f t="shared" si="10"/>
        <v>0</v>
      </c>
    </row>
    <row r="81" spans="2:12" x14ac:dyDescent="0.25">
      <c r="C81" s="66">
        <f>C80+1</f>
        <v>2029</v>
      </c>
      <c r="E81" s="41"/>
      <c r="F81" s="1">
        <f t="shared" ca="1" si="11"/>
        <v>0</v>
      </c>
      <c r="G81" s="1">
        <f t="shared" ca="1" si="12"/>
        <v>0</v>
      </c>
      <c r="K81">
        <f t="shared" si="9"/>
        <v>2030</v>
      </c>
      <c r="L81" s="40">
        <f t="shared" si="10"/>
        <v>0</v>
      </c>
    </row>
    <row r="82" spans="2:12" x14ac:dyDescent="0.25">
      <c r="C82" s="66">
        <f>C81+1</f>
        <v>2030</v>
      </c>
      <c r="E82" s="41"/>
      <c r="F82" s="1">
        <f t="shared" ca="1" si="11"/>
        <v>0</v>
      </c>
      <c r="G82" s="1">
        <f t="shared" ca="1" si="12"/>
        <v>0</v>
      </c>
    </row>
    <row r="83" spans="2:12" x14ac:dyDescent="0.25">
      <c r="B83" s="33"/>
      <c r="C83" s="33"/>
      <c r="D83" s="33"/>
      <c r="E83" s="62">
        <f>SUM(E77:E82)</f>
        <v>0</v>
      </c>
      <c r="F83" s="36">
        <f ca="1">SUM(F77:F82)</f>
        <v>0</v>
      </c>
      <c r="G83" s="36">
        <f ca="1">SUM(G77:G82)</f>
        <v>0</v>
      </c>
    </row>
  </sheetData>
  <mergeCells count="8">
    <mergeCell ref="A76:A79"/>
    <mergeCell ref="A47:A50"/>
    <mergeCell ref="A57:A59"/>
    <mergeCell ref="C17:D17"/>
    <mergeCell ref="C18:D18"/>
    <mergeCell ref="C26:D26"/>
    <mergeCell ref="A35:A44"/>
    <mergeCell ref="A52:A54"/>
  </mergeCells>
  <conditionalFormatting sqref="F32:F60">
    <cfRule type="expression" dxfId="4" priority="2">
      <formula>O32="Ja"</formula>
    </cfRule>
  </conditionalFormatting>
  <conditionalFormatting sqref="F61:F73">
    <cfRule type="expression" dxfId="3" priority="6">
      <formula>O60="Ja"</formula>
    </cfRule>
  </conditionalFormatting>
  <conditionalFormatting sqref="G71">
    <cfRule type="expression" dxfId="2" priority="1">
      <formula>#REF!="Ja"</formula>
    </cfRule>
  </conditionalFormatting>
  <dataValidations count="2">
    <dataValidation type="list" allowBlank="1" showInputMessage="1" showErrorMessage="1" sqref="C20" xr:uid="{0332D61E-3E57-474B-A4EB-87070F45C1BB}">
      <formula1>"Fase 0,Fase 1,Fase 2,Fase 3,Fase 4"</formula1>
    </dataValidation>
    <dataValidation type="whole" operator="greaterThanOrEqual" allowBlank="1" showInputMessage="1" showErrorMessage="1" sqref="G48:G50 G36:G45 F64:G68 G58:G60" xr:uid="{40AF0A8B-BDB2-448C-83B2-944C40344B57}">
      <formula1>0</formula1>
    </dataValidation>
  </dataValidations>
  <pageMargins left="0.7" right="0.7" top="0.75" bottom="0.75" header="0.3" footer="0.3"/>
  <pageSetup scale="32" orientation="portrait" r:id="rId1"/>
  <drawing r:id="rId2"/>
  <tableParts count="3">
    <tablePart r:id="rId3"/>
    <tablePart r:id="rId4"/>
    <tablePart r:id="rId5"/>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1358F-6BCF-40A8-AA8D-38E58BF9D13D}">
  <sheetPr>
    <tabColor rgb="FF92D050"/>
    <pageSetUpPr fitToPage="1"/>
  </sheetPr>
  <dimension ref="A2:L34"/>
  <sheetViews>
    <sheetView showGridLines="0" zoomScaleNormal="100" workbookViewId="0">
      <selection activeCell="E30" sqref="E30"/>
    </sheetView>
  </sheetViews>
  <sheetFormatPr defaultColWidth="0" defaultRowHeight="15" x14ac:dyDescent="0.25"/>
  <cols>
    <col min="1" max="1" width="2.7109375" customWidth="1"/>
    <col min="2" max="2" width="7.5703125" bestFit="1" customWidth="1"/>
    <col min="3" max="3" width="51" bestFit="1" customWidth="1"/>
    <col min="4" max="4" width="20.28515625" bestFit="1" customWidth="1"/>
    <col min="5" max="5" width="9.140625" customWidth="1"/>
    <col min="6" max="8" width="26.7109375" customWidth="1"/>
    <col min="9" max="11" width="20.7109375" customWidth="1"/>
    <col min="12" max="12" width="2.7109375" customWidth="1"/>
    <col min="13" max="16384" width="9.140625" hidden="1"/>
  </cols>
  <sheetData>
    <row r="2" spans="2:11" ht="20.25" thickBot="1" x14ac:dyDescent="0.35">
      <c r="B2" s="31" t="s">
        <v>82</v>
      </c>
      <c r="C2" s="31" t="s">
        <v>232</v>
      </c>
      <c r="D2" s="31"/>
      <c r="E2" s="31"/>
      <c r="F2" s="31"/>
      <c r="G2" s="31"/>
      <c r="H2" s="31"/>
      <c r="I2" s="31"/>
      <c r="J2" s="31"/>
      <c r="K2" s="31"/>
    </row>
    <row r="3" spans="2:11" ht="15.75" thickTop="1" x14ac:dyDescent="0.25"/>
    <row r="4" spans="2:11" x14ac:dyDescent="0.25">
      <c r="B4" s="33" t="s">
        <v>57</v>
      </c>
      <c r="D4" s="32">
        <f>Tabel_1.7_Molio[[#Totals],[Beregnet budget]]+Tabel_1.7_SK[[#Totals],[m.
Den forventede værdi (middelværdi)]]</f>
        <v>0</v>
      </c>
      <c r="F4" t="s">
        <v>58</v>
      </c>
    </row>
    <row r="6" spans="2:11" ht="20.25" thickBot="1" x14ac:dyDescent="0.35">
      <c r="B6" s="31" t="s">
        <v>258</v>
      </c>
      <c r="C6" s="31" t="s">
        <v>233</v>
      </c>
      <c r="D6" s="31"/>
      <c r="E6" s="31"/>
      <c r="F6" s="31"/>
      <c r="G6" s="31"/>
      <c r="H6" s="31"/>
      <c r="I6" s="31"/>
      <c r="J6" s="31"/>
      <c r="K6" s="31"/>
    </row>
    <row r="7" spans="2:11" ht="15.75" thickTop="1" x14ac:dyDescent="0.25"/>
    <row r="8" spans="2:11" x14ac:dyDescent="0.25">
      <c r="D8" s="25" t="s">
        <v>60</v>
      </c>
      <c r="E8" s="119" t="s">
        <v>51</v>
      </c>
      <c r="F8" s="120"/>
      <c r="G8" s="120"/>
      <c r="H8" s="121"/>
    </row>
    <row r="9" spans="2:11" x14ac:dyDescent="0.25">
      <c r="C9" t="s">
        <v>0</v>
      </c>
      <c r="D9" t="s">
        <v>1</v>
      </c>
      <c r="E9" t="s">
        <v>2</v>
      </c>
      <c r="F9" t="s">
        <v>25</v>
      </c>
      <c r="G9" t="s">
        <v>43</v>
      </c>
      <c r="H9" t="s">
        <v>44</v>
      </c>
    </row>
    <row r="10" spans="2:11" x14ac:dyDescent="0.25">
      <c r="C10" t="s">
        <v>134</v>
      </c>
      <c r="D10" s="30"/>
      <c r="E10" t="s">
        <v>125</v>
      </c>
      <c r="F10" s="1">
        <v>1600</v>
      </c>
      <c r="G10" s="1">
        <f>Tabel_1.7_Molio[[#This Row],[Mængde]]*Tabel_1.7_Molio[[#This Row],[Pris pr. enhed]]</f>
        <v>0</v>
      </c>
      <c r="H10" t="s">
        <v>138</v>
      </c>
    </row>
    <row r="11" spans="2:11" x14ac:dyDescent="0.25">
      <c r="C11" t="s">
        <v>135</v>
      </c>
      <c r="D11" s="30"/>
      <c r="E11" t="s">
        <v>125</v>
      </c>
      <c r="F11" s="1">
        <v>250</v>
      </c>
      <c r="G11" s="1">
        <f>Tabel_1.7_Molio[[#This Row],[Mængde]]*Tabel_1.7_Molio[[#This Row],[Pris pr. enhed]]</f>
        <v>0</v>
      </c>
      <c r="H11" t="s">
        <v>139</v>
      </c>
    </row>
    <row r="12" spans="2:11" x14ac:dyDescent="0.25">
      <c r="C12" t="s">
        <v>136</v>
      </c>
      <c r="D12" s="30"/>
      <c r="E12" t="s">
        <v>125</v>
      </c>
      <c r="F12" s="1">
        <v>2300</v>
      </c>
      <c r="G12" s="1">
        <f>Tabel_1.7_Molio[[#This Row],[Mængde]]*Tabel_1.7_Molio[[#This Row],[Pris pr. enhed]]</f>
        <v>0</v>
      </c>
      <c r="H12" t="s">
        <v>140</v>
      </c>
    </row>
    <row r="13" spans="2:11" x14ac:dyDescent="0.25">
      <c r="C13" t="s">
        <v>137</v>
      </c>
      <c r="D13" s="30"/>
      <c r="E13" t="s">
        <v>125</v>
      </c>
      <c r="F13" s="1">
        <v>550</v>
      </c>
      <c r="G13" s="1">
        <f>Tabel_1.7_Molio[[#This Row],[Mængde]]*Tabel_1.7_Molio[[#This Row],[Pris pr. enhed]]</f>
        <v>0</v>
      </c>
      <c r="H13" t="s">
        <v>141</v>
      </c>
    </row>
    <row r="14" spans="2:11" x14ac:dyDescent="0.25">
      <c r="C14" t="s">
        <v>132</v>
      </c>
      <c r="G14" s="1">
        <f>SUBTOTAL(109,Tabel_1.7_Molio[Beregnet budget])</f>
        <v>0</v>
      </c>
    </row>
    <row r="16" spans="2:11" ht="18.75" x14ac:dyDescent="0.3">
      <c r="C16" s="35" t="str">
        <f>HYPERLINK("#Samleark!RangeBudgetStart","Til Samleark")</f>
        <v>Til Samleark</v>
      </c>
      <c r="F16" s="35" t="str">
        <f>HYPERLINK("#Vejledning!RangeVejledningStart","Til Vejledning")</f>
        <v>Til Vejledning</v>
      </c>
    </row>
    <row r="18" spans="2:11" ht="20.25" thickBot="1" x14ac:dyDescent="0.35">
      <c r="B18" s="31" t="s">
        <v>259</v>
      </c>
      <c r="C18" s="31" t="s">
        <v>234</v>
      </c>
      <c r="D18" s="31"/>
      <c r="E18" s="31"/>
      <c r="F18" s="31"/>
      <c r="G18" s="31"/>
      <c r="H18" s="31"/>
      <c r="I18" s="31"/>
      <c r="J18" s="31"/>
      <c r="K18" s="31"/>
    </row>
    <row r="19" spans="2:11" ht="15.75" thickTop="1" x14ac:dyDescent="0.25"/>
    <row r="20" spans="2:11" x14ac:dyDescent="0.25">
      <c r="B20" s="114" t="s">
        <v>6</v>
      </c>
      <c r="C20" s="115"/>
      <c r="D20" s="115"/>
      <c r="E20" s="115"/>
      <c r="F20" s="115"/>
      <c r="G20" s="115"/>
      <c r="H20" s="115"/>
      <c r="I20" s="116" t="s">
        <v>7</v>
      </c>
      <c r="J20" s="117"/>
      <c r="K20" s="118"/>
    </row>
    <row r="21" spans="2:11" x14ac:dyDescent="0.25">
      <c r="B21" s="3"/>
      <c r="C21" s="4"/>
      <c r="D21" s="3"/>
      <c r="E21" s="26"/>
      <c r="F21" s="109" t="s">
        <v>30</v>
      </c>
      <c r="G21" s="110"/>
      <c r="H21" s="111"/>
      <c r="I21" s="112" t="s">
        <v>31</v>
      </c>
      <c r="J21" s="112"/>
      <c r="K21" s="113"/>
    </row>
    <row r="22" spans="2:11" ht="75" x14ac:dyDescent="0.25">
      <c r="B22" s="5" t="s">
        <v>268</v>
      </c>
      <c r="C22" s="6" t="s">
        <v>0</v>
      </c>
      <c r="D22" s="5" t="s">
        <v>1</v>
      </c>
      <c r="E22" s="27" t="s">
        <v>2</v>
      </c>
      <c r="F22" s="9" t="s">
        <v>27</v>
      </c>
      <c r="G22" s="2" t="s">
        <v>28</v>
      </c>
      <c r="H22" s="10" t="s">
        <v>29</v>
      </c>
      <c r="I22" s="14" t="s">
        <v>3</v>
      </c>
      <c r="J22" s="15" t="s">
        <v>4</v>
      </c>
      <c r="K22" s="16" t="s">
        <v>5</v>
      </c>
    </row>
    <row r="23" spans="2:11" x14ac:dyDescent="0.25">
      <c r="B23" s="19" t="s">
        <v>129</v>
      </c>
      <c r="C23" s="20" t="s">
        <v>397</v>
      </c>
      <c r="D23" s="21"/>
      <c r="E23" s="28"/>
      <c r="F23" s="22"/>
      <c r="G23" s="23"/>
      <c r="H23" s="24"/>
      <c r="I23" s="11">
        <f>Tabel_1.7_SK[[#This Row],[Mængde]]*(Tabel_1.7_SK[[#This Row],[a. 
Den absolut mindste enhedspris, der forekommer mulig
(Optimistisk)]]
+3*Tabel_1.7_SK[[#This Row],[b. 
Den mest sandsynlige enhedspris]]
+Tabel_1.7_SK[[#This Row],[c. 
Den absolut størst tænkelige enhedspris
(pessimistisk)]])/5</f>
        <v>0</v>
      </c>
      <c r="J23" s="1">
        <f>Tabel_1.7_SK[[#This Row],[Mængde]]*(Tabel_1.7_SK[[#This Row],[c. 
Den absolut størst tænkelige enhedspris
(pessimistisk)]]
-Tabel_1.7_SK[[#This Row],[a. 
Den absolut mindste enhedspris, der forekommer mulig
(Optimistisk)]])/5</f>
        <v>0</v>
      </c>
      <c r="K23" s="12">
        <f>Tabel_1.7_SK[[#This Row],[s.
spredningen
(standardafvigelsen)]]^2*0.000001</f>
        <v>0</v>
      </c>
    </row>
    <row r="24" spans="2:11" x14ac:dyDescent="0.25">
      <c r="B24" s="19" t="s">
        <v>130</v>
      </c>
      <c r="C24" s="20"/>
      <c r="D24" s="21"/>
      <c r="E24" s="28"/>
      <c r="F24" s="22"/>
      <c r="G24" s="23"/>
      <c r="H24" s="24"/>
      <c r="I24" s="11">
        <f>Tabel_1.7_SK[[#This Row],[Mængde]]*(Tabel_1.7_SK[[#This Row],[a. 
Den absolut mindste enhedspris, der forekommer mulig
(Optimistisk)]]
+3*Tabel_1.7_SK[[#This Row],[b. 
Den mest sandsynlige enhedspris]]
+Tabel_1.7_SK[[#This Row],[c. 
Den absolut størst tænkelige enhedspris
(pessimistisk)]])/5</f>
        <v>0</v>
      </c>
      <c r="J24" s="1">
        <f>Tabel_1.7_SK[[#This Row],[Mængde]]*(Tabel_1.7_SK[[#This Row],[c. 
Den absolut størst tænkelige enhedspris
(pessimistisk)]]
-Tabel_1.7_SK[[#This Row],[a. 
Den absolut mindste enhedspris, der forekommer mulig
(Optimistisk)]])/5</f>
        <v>0</v>
      </c>
      <c r="K24" s="12">
        <f>Tabel_1.7_SK[[#This Row],[s.
spredningen
(standardafvigelsen)]]^2*0.000001</f>
        <v>0</v>
      </c>
    </row>
    <row r="25" spans="2:11" x14ac:dyDescent="0.25">
      <c r="B25" s="19" t="s">
        <v>131</v>
      </c>
      <c r="C25" s="20"/>
      <c r="D25" s="21"/>
      <c r="E25" s="28"/>
      <c r="F25" s="22"/>
      <c r="G25" s="23"/>
      <c r="H25" s="24"/>
      <c r="I25" s="11">
        <f>Tabel_1.7_SK[[#This Row],[Mængde]]*(Tabel_1.7_SK[[#This Row],[a. 
Den absolut mindste enhedspris, der forekommer mulig
(Optimistisk)]]
+3*Tabel_1.7_SK[[#This Row],[b. 
Den mest sandsynlige enhedspris]]
+Tabel_1.7_SK[[#This Row],[c. 
Den absolut størst tænkelige enhedspris
(pessimistisk)]])/5</f>
        <v>0</v>
      </c>
      <c r="J25" s="1">
        <f>Tabel_1.7_SK[[#This Row],[Mængde]]*(Tabel_1.7_SK[[#This Row],[c. 
Den absolut størst tænkelige enhedspris
(pessimistisk)]]
-Tabel_1.7_SK[[#This Row],[a. 
Den absolut mindste enhedspris, der forekommer mulig
(Optimistisk)]])/5</f>
        <v>0</v>
      </c>
      <c r="K25" s="12">
        <f>Tabel_1.7_SK[[#This Row],[s.
spredningen
(standardafvigelsen)]]^2*0.000001</f>
        <v>0</v>
      </c>
    </row>
    <row r="26" spans="2:11" x14ac:dyDescent="0.25">
      <c r="B26" s="19"/>
      <c r="C26" s="20"/>
      <c r="D26" s="21"/>
      <c r="E26" s="28"/>
      <c r="F26" s="22"/>
      <c r="G26" s="23"/>
      <c r="H26" s="24"/>
      <c r="I26" s="11">
        <f>Tabel_1.7_SK[[#This Row],[Mængde]]*(Tabel_1.7_SK[[#This Row],[a. 
Den absolut mindste enhedspris, der forekommer mulig
(Optimistisk)]]
+3*Tabel_1.7_SK[[#This Row],[b. 
Den mest sandsynlige enhedspris]]
+Tabel_1.7_SK[[#This Row],[c. 
Den absolut størst tænkelige enhedspris
(pessimistisk)]])/5</f>
        <v>0</v>
      </c>
      <c r="J26" s="1">
        <f>Tabel_1.7_SK[[#This Row],[Mængde]]*(Tabel_1.7_SK[[#This Row],[c. 
Den absolut størst tænkelige enhedspris
(pessimistisk)]]
-Tabel_1.7_SK[[#This Row],[a. 
Den absolut mindste enhedspris, der forekommer mulig
(Optimistisk)]])/5</f>
        <v>0</v>
      </c>
      <c r="K26" s="12">
        <f>Tabel_1.7_SK[[#This Row],[s.
spredningen
(standardafvigelsen)]]^2*0.000001</f>
        <v>0</v>
      </c>
    </row>
    <row r="27" spans="2:11" x14ac:dyDescent="0.25">
      <c r="B27" s="19"/>
      <c r="C27" s="20"/>
      <c r="D27" s="21"/>
      <c r="E27" s="28"/>
      <c r="F27" s="22"/>
      <c r="G27" s="23"/>
      <c r="H27" s="24"/>
      <c r="I27" s="11">
        <f>Tabel_1.7_SK[[#This Row],[Mængde]]*(Tabel_1.7_SK[[#This Row],[a. 
Den absolut mindste enhedspris, der forekommer mulig
(Optimistisk)]]
+3*Tabel_1.7_SK[[#This Row],[b. 
Den mest sandsynlige enhedspris]]
+Tabel_1.7_SK[[#This Row],[c. 
Den absolut størst tænkelige enhedspris
(pessimistisk)]])/5</f>
        <v>0</v>
      </c>
      <c r="J27" s="1">
        <f>Tabel_1.7_SK[[#This Row],[Mængde]]*(Tabel_1.7_SK[[#This Row],[c. 
Den absolut størst tænkelige enhedspris
(pessimistisk)]]
-Tabel_1.7_SK[[#This Row],[a. 
Den absolut mindste enhedspris, der forekommer mulig
(Optimistisk)]])/5</f>
        <v>0</v>
      </c>
      <c r="K27" s="12">
        <f>Tabel_1.7_SK[[#This Row],[s.
spredningen
(standardafvigelsen)]]^2*0.000001</f>
        <v>0</v>
      </c>
    </row>
    <row r="28" spans="2:11" x14ac:dyDescent="0.25">
      <c r="B28" s="19"/>
      <c r="C28" s="20"/>
      <c r="D28" s="21"/>
      <c r="E28" s="28"/>
      <c r="F28" s="22"/>
      <c r="G28" s="23"/>
      <c r="H28" s="24"/>
      <c r="I28" s="11">
        <f>Tabel_1.7_SK[[#This Row],[Mængde]]*(Tabel_1.7_SK[[#This Row],[a. 
Den absolut mindste enhedspris, der forekommer mulig
(Optimistisk)]]
+3*Tabel_1.7_SK[[#This Row],[b. 
Den mest sandsynlige enhedspris]]
+Tabel_1.7_SK[[#This Row],[c. 
Den absolut størst tænkelige enhedspris
(pessimistisk)]])/5</f>
        <v>0</v>
      </c>
      <c r="J28" s="1">
        <f>Tabel_1.7_SK[[#This Row],[Mængde]]*(Tabel_1.7_SK[[#This Row],[c. 
Den absolut størst tænkelige enhedspris
(pessimistisk)]]
-Tabel_1.7_SK[[#This Row],[a. 
Den absolut mindste enhedspris, der forekommer mulig
(Optimistisk)]])/5</f>
        <v>0</v>
      </c>
      <c r="K28" s="12">
        <f>Tabel_1.7_SK[[#This Row],[s.
spredningen
(standardafvigelsen)]]^2*0.000001</f>
        <v>0</v>
      </c>
    </row>
    <row r="29" spans="2:11" x14ac:dyDescent="0.25">
      <c r="B29" s="19"/>
      <c r="C29" s="20"/>
      <c r="D29" s="21"/>
      <c r="E29" s="28"/>
      <c r="F29" s="22"/>
      <c r="G29" s="23"/>
      <c r="H29" s="24"/>
      <c r="I29" s="11">
        <f>Tabel_1.7_SK[[#This Row],[Mængde]]*(Tabel_1.7_SK[[#This Row],[a. 
Den absolut mindste enhedspris, der forekommer mulig
(Optimistisk)]]
+3*Tabel_1.7_SK[[#This Row],[b. 
Den mest sandsynlige enhedspris]]
+Tabel_1.7_SK[[#This Row],[c. 
Den absolut størst tænkelige enhedspris
(pessimistisk)]])/5</f>
        <v>0</v>
      </c>
      <c r="J29" s="1">
        <f>Tabel_1.7_SK[[#This Row],[Mængde]]*(Tabel_1.7_SK[[#This Row],[c. 
Den absolut størst tænkelige enhedspris
(pessimistisk)]]
-Tabel_1.7_SK[[#This Row],[a. 
Den absolut mindste enhedspris, der forekommer mulig
(Optimistisk)]])/5</f>
        <v>0</v>
      </c>
      <c r="K29" s="12">
        <f>Tabel_1.7_SK[[#This Row],[s.
spredningen
(standardafvigelsen)]]^2*0.000001</f>
        <v>0</v>
      </c>
    </row>
    <row r="30" spans="2:11" x14ac:dyDescent="0.25">
      <c r="B30" s="19"/>
      <c r="C30" s="20"/>
      <c r="D30" s="21"/>
      <c r="E30" s="28"/>
      <c r="F30" s="22"/>
      <c r="G30" s="23"/>
      <c r="H30" s="24"/>
      <c r="I30" s="11">
        <f>Tabel_1.7_SK[[#This Row],[Mængde]]*(Tabel_1.7_SK[[#This Row],[a. 
Den absolut mindste enhedspris, der forekommer mulig
(Optimistisk)]]
+3*Tabel_1.7_SK[[#This Row],[b. 
Den mest sandsynlige enhedspris]]
+Tabel_1.7_SK[[#This Row],[c. 
Den absolut størst tænkelige enhedspris
(pessimistisk)]])/5</f>
        <v>0</v>
      </c>
      <c r="J30" s="1">
        <f>Tabel_1.7_SK[[#This Row],[Mængde]]*(Tabel_1.7_SK[[#This Row],[c. 
Den absolut størst tænkelige enhedspris
(pessimistisk)]]
-Tabel_1.7_SK[[#This Row],[a. 
Den absolut mindste enhedspris, der forekommer mulig
(Optimistisk)]])/5</f>
        <v>0</v>
      </c>
      <c r="K30" s="12">
        <f>Tabel_1.7_SK[[#This Row],[s.
spredningen
(standardafvigelsen)]]^2*0.000001</f>
        <v>0</v>
      </c>
    </row>
    <row r="31" spans="2:11" x14ac:dyDescent="0.25">
      <c r="B31" s="19"/>
      <c r="C31" s="20"/>
      <c r="D31" s="21"/>
      <c r="E31" s="28"/>
      <c r="F31" s="22"/>
      <c r="G31" s="23"/>
      <c r="H31" s="24"/>
      <c r="I31" s="11">
        <f>Tabel_1.7_SK[[#This Row],[Mængde]]*(Tabel_1.7_SK[[#This Row],[a. 
Den absolut mindste enhedspris, der forekommer mulig
(Optimistisk)]]
+3*Tabel_1.7_SK[[#This Row],[b. 
Den mest sandsynlige enhedspris]]
+Tabel_1.7_SK[[#This Row],[c. 
Den absolut størst tænkelige enhedspris
(pessimistisk)]])/5</f>
        <v>0</v>
      </c>
      <c r="J31" s="1">
        <f>Tabel_1.7_SK[[#This Row],[Mængde]]*(Tabel_1.7_SK[[#This Row],[c. 
Den absolut størst tænkelige enhedspris
(pessimistisk)]]
-Tabel_1.7_SK[[#This Row],[a. 
Den absolut mindste enhedspris, der forekommer mulig
(Optimistisk)]])/5</f>
        <v>0</v>
      </c>
      <c r="K31" s="12">
        <f>Tabel_1.7_SK[[#This Row],[s.
spredningen
(standardafvigelsen)]]^2*0.000001</f>
        <v>0</v>
      </c>
    </row>
    <row r="32" spans="2:11" x14ac:dyDescent="0.25">
      <c r="B32" s="7" t="s">
        <v>82</v>
      </c>
      <c r="C32" s="8" t="s">
        <v>133</v>
      </c>
      <c r="D32" s="7"/>
      <c r="E32" s="29"/>
      <c r="F32" s="7"/>
      <c r="G32" s="13"/>
      <c r="H32" s="8"/>
      <c r="I32" s="17">
        <f>SUBTOTAL(109,Tabel_1.7_SK[m.
Den forventede værdi (middelværdi)])</f>
        <v>0</v>
      </c>
      <c r="J32" s="13"/>
      <c r="K32" s="18">
        <f>SUBTOTAL(109,Tabel_1.7_SK[v.
varians (s2x10-7)])</f>
        <v>0</v>
      </c>
    </row>
    <row r="34" spans="3:6" ht="18.75" x14ac:dyDescent="0.3">
      <c r="C34" s="35" t="str">
        <f>HYPERLINK("#Samleark!RangeBudgetStart","Til Samleark")</f>
        <v>Til Samleark</v>
      </c>
      <c r="F34" s="35" t="str">
        <f>HYPERLINK("#Vejledning!RangeVejledningStart","Til Vejledning")</f>
        <v>Til Vejledning</v>
      </c>
    </row>
  </sheetData>
  <mergeCells count="5">
    <mergeCell ref="B20:H20"/>
    <mergeCell ref="I20:K20"/>
    <mergeCell ref="F21:H21"/>
    <mergeCell ref="I21:K21"/>
    <mergeCell ref="E8:H8"/>
  </mergeCells>
  <dataValidations count="1">
    <dataValidation type="decimal" operator="greaterThanOrEqual" allowBlank="1" showInputMessage="1" showErrorMessage="1" errorTitle="Indtast et positivt tal" error="Indtast et tal større end eller lig med 0." sqref="D10:D13 D23:D31 F23:H31" xr:uid="{00542FA0-A09F-42E1-A717-6EDEE160A8B9}">
      <formula1>0</formula1>
    </dataValidation>
  </dataValidations>
  <pageMargins left="0.70866141732283472" right="0.70866141732283472" top="0.74803149606299213" bottom="0.74803149606299213" header="0.31496062992125984" footer="0.31496062992125984"/>
  <pageSetup paperSize="9" scale="37" orientation="portrait" cellComments="asDisplayed" r:id="rId1"/>
  <headerFooter>
    <oddHeader>&amp;L&amp;G</oddHeader>
    <oddFooter>&amp;RAU Bygninger
Udarbejdet af: MOSA</oddFooter>
  </headerFooter>
  <legacyDrawingHF r:id="rId2"/>
  <tableParts count="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477A6-8470-4CE9-9393-28995EB6275C}">
  <sheetPr>
    <tabColor rgb="FF92D050"/>
    <pageSetUpPr fitToPage="1"/>
  </sheetPr>
  <dimension ref="A2:L109"/>
  <sheetViews>
    <sheetView showGridLines="0" view="pageBreakPreview" topLeftCell="A75" zoomScaleNormal="100" zoomScaleSheetLayoutView="100" workbookViewId="0">
      <selection activeCell="C109" sqref="C109"/>
    </sheetView>
  </sheetViews>
  <sheetFormatPr defaultColWidth="0" defaultRowHeight="15" x14ac:dyDescent="0.25"/>
  <cols>
    <col min="1" max="1" width="2.7109375" customWidth="1"/>
    <col min="2" max="2" width="7.5703125" bestFit="1" customWidth="1"/>
    <col min="3" max="3" width="54.140625" customWidth="1"/>
    <col min="4" max="4" width="20.28515625" bestFit="1" customWidth="1"/>
    <col min="5" max="5" width="9.140625" customWidth="1"/>
    <col min="6" max="8" width="26.7109375" customWidth="1"/>
    <col min="9" max="11" width="20.7109375" customWidth="1"/>
    <col min="12" max="12" width="2.7109375" customWidth="1"/>
    <col min="13" max="16384" width="9.140625" hidden="1"/>
  </cols>
  <sheetData>
    <row r="2" spans="2:11" ht="20.25" thickBot="1" x14ac:dyDescent="0.35">
      <c r="B2" s="31" t="s">
        <v>84</v>
      </c>
      <c r="C2" s="31" t="s">
        <v>245</v>
      </c>
      <c r="D2" s="31"/>
      <c r="E2" s="31"/>
      <c r="F2" s="31"/>
      <c r="G2" s="31"/>
      <c r="H2" s="31"/>
      <c r="I2" s="31"/>
      <c r="J2" s="31"/>
      <c r="K2" s="31"/>
    </row>
    <row r="3" spans="2:11" ht="15.75" thickTop="1" x14ac:dyDescent="0.25"/>
    <row r="4" spans="2:11" x14ac:dyDescent="0.25">
      <c r="B4" s="33" t="s">
        <v>57</v>
      </c>
      <c r="D4" s="32">
        <f>Tabel_1.8_Molio[[#Totals],[Beregnet budget]]+Tabel_1.8_SK[[#Totals],[m.
Den forventede værdi (middelværdi)]]</f>
        <v>0</v>
      </c>
      <c r="F4" t="s">
        <v>58</v>
      </c>
    </row>
    <row r="6" spans="2:11" ht="20.25" thickBot="1" x14ac:dyDescent="0.35">
      <c r="B6" s="31" t="s">
        <v>250</v>
      </c>
      <c r="C6" s="31" t="s">
        <v>246</v>
      </c>
      <c r="D6" s="31"/>
      <c r="E6" s="31"/>
      <c r="F6" s="31"/>
      <c r="G6" s="31"/>
      <c r="H6" s="31"/>
      <c r="I6" s="31"/>
      <c r="J6" s="31"/>
      <c r="K6" s="31"/>
    </row>
    <row r="7" spans="2:11" ht="15.75" thickTop="1" x14ac:dyDescent="0.25"/>
    <row r="8" spans="2:11" x14ac:dyDescent="0.25">
      <c r="D8" s="25" t="s">
        <v>60</v>
      </c>
      <c r="E8" s="119" t="s">
        <v>51</v>
      </c>
      <c r="F8" s="120"/>
      <c r="G8" s="120"/>
      <c r="H8" s="121"/>
    </row>
    <row r="9" spans="2:11" x14ac:dyDescent="0.25">
      <c r="C9" t="s">
        <v>0</v>
      </c>
      <c r="D9" t="s">
        <v>1</v>
      </c>
      <c r="E9" t="s">
        <v>2</v>
      </c>
      <c r="F9" t="s">
        <v>25</v>
      </c>
      <c r="G9" t="s">
        <v>43</v>
      </c>
      <c r="H9" t="s">
        <v>44</v>
      </c>
    </row>
    <row r="10" spans="2:11" x14ac:dyDescent="0.25">
      <c r="C10" t="s">
        <v>145</v>
      </c>
      <c r="D10" s="30"/>
      <c r="E10" t="s">
        <v>125</v>
      </c>
      <c r="F10" s="1">
        <v>1250</v>
      </c>
      <c r="G10" s="1">
        <f>Tabel_1.8_Molio[[#This Row],[Mængde]]*Tabel_1.8_Molio[[#This Row],[Pris pr. enhed]]</f>
        <v>0</v>
      </c>
      <c r="H10" t="s">
        <v>452</v>
      </c>
    </row>
    <row r="11" spans="2:11" x14ac:dyDescent="0.25">
      <c r="C11" t="s">
        <v>146</v>
      </c>
      <c r="D11" s="30"/>
      <c r="E11" t="s">
        <v>125</v>
      </c>
      <c r="F11" s="1">
        <v>3700</v>
      </c>
      <c r="G11" s="1">
        <f>Tabel_1.8_Molio[[#This Row],[Mængde]]*Tabel_1.8_Molio[[#This Row],[Pris pr. enhed]]</f>
        <v>0</v>
      </c>
      <c r="H11" t="s">
        <v>147</v>
      </c>
    </row>
    <row r="12" spans="2:11" x14ac:dyDescent="0.25">
      <c r="C12" t="s">
        <v>247</v>
      </c>
      <c r="G12" s="1">
        <f>SUBTOTAL(109,Tabel_1.8_Molio[Beregnet budget])</f>
        <v>0</v>
      </c>
    </row>
    <row r="14" spans="2:11" ht="18.75" x14ac:dyDescent="0.3">
      <c r="C14" s="35" t="str">
        <f>HYPERLINK("#Samleark!RangeBudgetStart","Til Samleark")</f>
        <v>Til Samleark</v>
      </c>
      <c r="F14" s="35" t="str">
        <f>HYPERLINK("#Vejledning!RangeVejledningStart","Til Vejledning")</f>
        <v>Til Vejledning</v>
      </c>
    </row>
    <row r="16" spans="2:11" ht="20.25" thickBot="1" x14ac:dyDescent="0.35">
      <c r="B16" s="31" t="s">
        <v>251</v>
      </c>
      <c r="C16" s="31" t="s">
        <v>248</v>
      </c>
      <c r="D16" s="31"/>
      <c r="E16" s="31"/>
      <c r="F16" s="31"/>
      <c r="G16" s="31"/>
      <c r="H16" s="31"/>
      <c r="I16" s="31"/>
      <c r="J16" s="31"/>
      <c r="K16" s="31"/>
    </row>
    <row r="17" spans="2:11" ht="15.75" thickTop="1" x14ac:dyDescent="0.25"/>
    <row r="18" spans="2:11" x14ac:dyDescent="0.25">
      <c r="B18" s="114" t="s">
        <v>6</v>
      </c>
      <c r="C18" s="115"/>
      <c r="D18" s="115"/>
      <c r="E18" s="115"/>
      <c r="F18" s="115"/>
      <c r="G18" s="115"/>
      <c r="H18" s="115"/>
      <c r="I18" s="116" t="s">
        <v>7</v>
      </c>
      <c r="J18" s="117"/>
      <c r="K18" s="118"/>
    </row>
    <row r="19" spans="2:11" x14ac:dyDescent="0.25">
      <c r="B19" s="3"/>
      <c r="C19" s="4"/>
      <c r="D19" s="3"/>
      <c r="E19" s="26"/>
      <c r="F19" s="109" t="s">
        <v>30</v>
      </c>
      <c r="G19" s="110"/>
      <c r="H19" s="111"/>
      <c r="I19" s="112" t="s">
        <v>31</v>
      </c>
      <c r="J19" s="112"/>
      <c r="K19" s="113"/>
    </row>
    <row r="20" spans="2:11" ht="75" x14ac:dyDescent="0.25">
      <c r="B20" s="5" t="s">
        <v>268</v>
      </c>
      <c r="C20" s="6" t="s">
        <v>0</v>
      </c>
      <c r="D20" s="5" t="s">
        <v>1</v>
      </c>
      <c r="E20" s="27" t="s">
        <v>2</v>
      </c>
      <c r="F20" s="9" t="s">
        <v>27</v>
      </c>
      <c r="G20" s="2" t="s">
        <v>28</v>
      </c>
      <c r="H20" s="10" t="s">
        <v>29</v>
      </c>
      <c r="I20" s="14" t="s">
        <v>3</v>
      </c>
      <c r="J20" s="15" t="s">
        <v>4</v>
      </c>
      <c r="K20" s="16" t="s">
        <v>5</v>
      </c>
    </row>
    <row r="21" spans="2:11" x14ac:dyDescent="0.25">
      <c r="B21" s="19" t="s">
        <v>142</v>
      </c>
      <c r="C21" s="20"/>
      <c r="D21" s="21"/>
      <c r="E21" s="28"/>
      <c r="F21" s="22"/>
      <c r="G21" s="23"/>
      <c r="H21" s="24"/>
      <c r="I21" s="11">
        <f>Tabel_1.8_SK[[#This Row],[Mængde]]*(Tabel_1.8_SK[[#This Row],[a. 
Den absolut mindste enhedspris, der forekommer mulig
(Optimistisk)]]
+3*Tabel_1.8_SK[[#This Row],[b. 
Den mest sandsynlige enhedspris]]
+Tabel_1.8_SK[[#This Row],[c. 
Den absolut størst tænkelige enhedspris
(pessimistisk)]])/5</f>
        <v>0</v>
      </c>
      <c r="J21" s="1">
        <f>Tabel_1.8_SK[[#This Row],[Mængde]]*(Tabel_1.8_SK[[#This Row],[c. 
Den absolut størst tænkelige enhedspris
(pessimistisk)]]
-Tabel_1.8_SK[[#This Row],[a. 
Den absolut mindste enhedspris, der forekommer mulig
(Optimistisk)]])/5</f>
        <v>0</v>
      </c>
      <c r="K21" s="12">
        <f>Tabel_1.8_SK[[#This Row],[s.
spredningen
(standardafvigelsen)]]^2*0.000001</f>
        <v>0</v>
      </c>
    </row>
    <row r="22" spans="2:11" x14ac:dyDescent="0.25">
      <c r="B22" s="19" t="s">
        <v>143</v>
      </c>
      <c r="C22" s="20"/>
      <c r="D22" s="21"/>
      <c r="E22" s="28"/>
      <c r="F22" s="22"/>
      <c r="G22" s="23"/>
      <c r="H22" s="24"/>
      <c r="I22" s="11">
        <f>Tabel_1.8_SK[[#This Row],[Mængde]]*(Tabel_1.8_SK[[#This Row],[a. 
Den absolut mindste enhedspris, der forekommer mulig
(Optimistisk)]]
+3*Tabel_1.8_SK[[#This Row],[b. 
Den mest sandsynlige enhedspris]]
+Tabel_1.8_SK[[#This Row],[c. 
Den absolut størst tænkelige enhedspris
(pessimistisk)]])/5</f>
        <v>0</v>
      </c>
      <c r="J22" s="1">
        <f>Tabel_1.8_SK[[#This Row],[Mængde]]*(Tabel_1.8_SK[[#This Row],[c. 
Den absolut størst tænkelige enhedspris
(pessimistisk)]]
-Tabel_1.8_SK[[#This Row],[a. 
Den absolut mindste enhedspris, der forekommer mulig
(Optimistisk)]])/5</f>
        <v>0</v>
      </c>
      <c r="K22" s="12">
        <f>Tabel_1.8_SK[[#This Row],[s.
spredningen
(standardafvigelsen)]]^2*0.000001</f>
        <v>0</v>
      </c>
    </row>
    <row r="23" spans="2:11" x14ac:dyDescent="0.25">
      <c r="B23" s="19" t="s">
        <v>144</v>
      </c>
      <c r="C23" s="20"/>
      <c r="D23" s="21"/>
      <c r="E23" s="28"/>
      <c r="F23" s="22"/>
      <c r="G23" s="23"/>
      <c r="H23" s="24"/>
      <c r="I23" s="11">
        <f>Tabel_1.8_SK[[#This Row],[Mængde]]*(Tabel_1.8_SK[[#This Row],[a. 
Den absolut mindste enhedspris, der forekommer mulig
(Optimistisk)]]
+3*Tabel_1.8_SK[[#This Row],[b. 
Den mest sandsynlige enhedspris]]
+Tabel_1.8_SK[[#This Row],[c. 
Den absolut størst tænkelige enhedspris
(pessimistisk)]])/5</f>
        <v>0</v>
      </c>
      <c r="J23" s="1">
        <f>Tabel_1.8_SK[[#This Row],[Mængde]]*(Tabel_1.8_SK[[#This Row],[c. 
Den absolut størst tænkelige enhedspris
(pessimistisk)]]
-Tabel_1.8_SK[[#This Row],[a. 
Den absolut mindste enhedspris, der forekommer mulig
(Optimistisk)]])/5</f>
        <v>0</v>
      </c>
      <c r="K23" s="12">
        <f>Tabel_1.8_SK[[#This Row],[s.
spredningen
(standardafvigelsen)]]^2*0.000001</f>
        <v>0</v>
      </c>
    </row>
    <row r="24" spans="2:11" x14ac:dyDescent="0.25">
      <c r="B24" s="19"/>
      <c r="C24" s="20"/>
      <c r="D24" s="21"/>
      <c r="E24" s="28"/>
      <c r="F24" s="22"/>
      <c r="G24" s="23"/>
      <c r="H24" s="24"/>
      <c r="I24" s="11">
        <f>Tabel_1.8_SK[[#This Row],[Mængde]]*(Tabel_1.8_SK[[#This Row],[a. 
Den absolut mindste enhedspris, der forekommer mulig
(Optimistisk)]]
+3*Tabel_1.8_SK[[#This Row],[b. 
Den mest sandsynlige enhedspris]]
+Tabel_1.8_SK[[#This Row],[c. 
Den absolut størst tænkelige enhedspris
(pessimistisk)]])/5</f>
        <v>0</v>
      </c>
      <c r="J24" s="1">
        <f>Tabel_1.8_SK[[#This Row],[Mængde]]*(Tabel_1.8_SK[[#This Row],[c. 
Den absolut størst tænkelige enhedspris
(pessimistisk)]]
-Tabel_1.8_SK[[#This Row],[a. 
Den absolut mindste enhedspris, der forekommer mulig
(Optimistisk)]])/5</f>
        <v>0</v>
      </c>
      <c r="K24" s="12">
        <f>Tabel_1.8_SK[[#This Row],[s.
spredningen
(standardafvigelsen)]]^2*0.000001</f>
        <v>0</v>
      </c>
    </row>
    <row r="25" spans="2:11" x14ac:dyDescent="0.25">
      <c r="B25" s="19"/>
      <c r="C25" s="20"/>
      <c r="D25" s="21"/>
      <c r="E25" s="28"/>
      <c r="F25" s="22"/>
      <c r="G25" s="23"/>
      <c r="H25" s="24"/>
      <c r="I25" s="11">
        <f>Tabel_1.8_SK[[#This Row],[Mængde]]*(Tabel_1.8_SK[[#This Row],[a. 
Den absolut mindste enhedspris, der forekommer mulig
(Optimistisk)]]
+3*Tabel_1.8_SK[[#This Row],[b. 
Den mest sandsynlige enhedspris]]
+Tabel_1.8_SK[[#This Row],[c. 
Den absolut størst tænkelige enhedspris
(pessimistisk)]])/5</f>
        <v>0</v>
      </c>
      <c r="J25" s="1">
        <f>Tabel_1.8_SK[[#This Row],[Mængde]]*(Tabel_1.8_SK[[#This Row],[c. 
Den absolut størst tænkelige enhedspris
(pessimistisk)]]
-Tabel_1.8_SK[[#This Row],[a. 
Den absolut mindste enhedspris, der forekommer mulig
(Optimistisk)]])/5</f>
        <v>0</v>
      </c>
      <c r="K25" s="12">
        <f>Tabel_1.8_SK[[#This Row],[s.
spredningen
(standardafvigelsen)]]^2*0.000001</f>
        <v>0</v>
      </c>
    </row>
    <row r="26" spans="2:11" x14ac:dyDescent="0.25">
      <c r="B26" s="19"/>
      <c r="C26" s="20"/>
      <c r="D26" s="21"/>
      <c r="E26" s="28"/>
      <c r="F26" s="22"/>
      <c r="G26" s="23"/>
      <c r="H26" s="24"/>
      <c r="I26" s="11">
        <f>Tabel_1.8_SK[[#This Row],[Mængde]]*(Tabel_1.8_SK[[#This Row],[a. 
Den absolut mindste enhedspris, der forekommer mulig
(Optimistisk)]]
+3*Tabel_1.8_SK[[#This Row],[b. 
Den mest sandsynlige enhedspris]]
+Tabel_1.8_SK[[#This Row],[c. 
Den absolut størst tænkelige enhedspris
(pessimistisk)]])/5</f>
        <v>0</v>
      </c>
      <c r="J26" s="1">
        <f>Tabel_1.8_SK[[#This Row],[Mængde]]*(Tabel_1.8_SK[[#This Row],[c. 
Den absolut størst tænkelige enhedspris
(pessimistisk)]]
-Tabel_1.8_SK[[#This Row],[a. 
Den absolut mindste enhedspris, der forekommer mulig
(Optimistisk)]])/5</f>
        <v>0</v>
      </c>
      <c r="K26" s="12">
        <f>Tabel_1.8_SK[[#This Row],[s.
spredningen
(standardafvigelsen)]]^2*0.000001</f>
        <v>0</v>
      </c>
    </row>
    <row r="27" spans="2:11" x14ac:dyDescent="0.25">
      <c r="B27" s="19"/>
      <c r="C27" s="20"/>
      <c r="D27" s="21"/>
      <c r="E27" s="28"/>
      <c r="F27" s="22"/>
      <c r="G27" s="23"/>
      <c r="H27" s="24"/>
      <c r="I27" s="11">
        <f>Tabel_1.8_SK[[#This Row],[Mængde]]*(Tabel_1.8_SK[[#This Row],[a. 
Den absolut mindste enhedspris, der forekommer mulig
(Optimistisk)]]
+3*Tabel_1.8_SK[[#This Row],[b. 
Den mest sandsynlige enhedspris]]
+Tabel_1.8_SK[[#This Row],[c. 
Den absolut størst tænkelige enhedspris
(pessimistisk)]])/5</f>
        <v>0</v>
      </c>
      <c r="J27" s="1">
        <f>Tabel_1.8_SK[[#This Row],[Mængde]]*(Tabel_1.8_SK[[#This Row],[c. 
Den absolut størst tænkelige enhedspris
(pessimistisk)]]
-Tabel_1.8_SK[[#This Row],[a. 
Den absolut mindste enhedspris, der forekommer mulig
(Optimistisk)]])/5</f>
        <v>0</v>
      </c>
      <c r="K27" s="12">
        <f>Tabel_1.8_SK[[#This Row],[s.
spredningen
(standardafvigelsen)]]^2*0.000001</f>
        <v>0</v>
      </c>
    </row>
    <row r="28" spans="2:11" x14ac:dyDescent="0.25">
      <c r="B28" s="19"/>
      <c r="C28" s="20"/>
      <c r="D28" s="21"/>
      <c r="E28" s="28"/>
      <c r="F28" s="22"/>
      <c r="G28" s="23"/>
      <c r="H28" s="24"/>
      <c r="I28" s="11">
        <f>Tabel_1.8_SK[[#This Row],[Mængde]]*(Tabel_1.8_SK[[#This Row],[a. 
Den absolut mindste enhedspris, der forekommer mulig
(Optimistisk)]]
+3*Tabel_1.8_SK[[#This Row],[b. 
Den mest sandsynlige enhedspris]]
+Tabel_1.8_SK[[#This Row],[c. 
Den absolut størst tænkelige enhedspris
(pessimistisk)]])/5</f>
        <v>0</v>
      </c>
      <c r="J28" s="1">
        <f>Tabel_1.8_SK[[#This Row],[Mængde]]*(Tabel_1.8_SK[[#This Row],[c. 
Den absolut størst tænkelige enhedspris
(pessimistisk)]]
-Tabel_1.8_SK[[#This Row],[a. 
Den absolut mindste enhedspris, der forekommer mulig
(Optimistisk)]])/5</f>
        <v>0</v>
      </c>
      <c r="K28" s="12">
        <f>Tabel_1.8_SK[[#This Row],[s.
spredningen
(standardafvigelsen)]]^2*0.000001</f>
        <v>0</v>
      </c>
    </row>
    <row r="29" spans="2:11" x14ac:dyDescent="0.25">
      <c r="B29" s="19"/>
      <c r="C29" s="20"/>
      <c r="D29" s="21"/>
      <c r="E29" s="28"/>
      <c r="F29" s="22"/>
      <c r="G29" s="23"/>
      <c r="H29" s="24"/>
      <c r="I29" s="11">
        <f>Tabel_1.8_SK[[#This Row],[Mængde]]*(Tabel_1.8_SK[[#This Row],[a. 
Den absolut mindste enhedspris, der forekommer mulig
(Optimistisk)]]
+3*Tabel_1.8_SK[[#This Row],[b. 
Den mest sandsynlige enhedspris]]
+Tabel_1.8_SK[[#This Row],[c. 
Den absolut størst tænkelige enhedspris
(pessimistisk)]])/5</f>
        <v>0</v>
      </c>
      <c r="J29" s="1">
        <f>Tabel_1.8_SK[[#This Row],[Mængde]]*(Tabel_1.8_SK[[#This Row],[c. 
Den absolut størst tænkelige enhedspris
(pessimistisk)]]
-Tabel_1.8_SK[[#This Row],[a. 
Den absolut mindste enhedspris, der forekommer mulig
(Optimistisk)]])/5</f>
        <v>0</v>
      </c>
      <c r="K29" s="12">
        <f>Tabel_1.8_SK[[#This Row],[s.
spredningen
(standardafvigelsen)]]^2*0.000001</f>
        <v>0</v>
      </c>
    </row>
    <row r="30" spans="2:11" x14ac:dyDescent="0.25">
      <c r="B30" s="7" t="s">
        <v>84</v>
      </c>
      <c r="C30" s="8" t="s">
        <v>249</v>
      </c>
      <c r="D30" s="7"/>
      <c r="E30" s="29"/>
      <c r="F30" s="7"/>
      <c r="G30" s="13"/>
      <c r="H30" s="8"/>
      <c r="I30" s="17">
        <f>SUBTOTAL(109,Tabel_1.8_SK[m.
Den forventede værdi (middelværdi)])</f>
        <v>0</v>
      </c>
      <c r="J30" s="13"/>
      <c r="K30" s="18">
        <f>SUBTOTAL(109,Tabel_1.8_SK[v.
varians (s2x10-7)])</f>
        <v>0</v>
      </c>
    </row>
    <row r="32" spans="2:11" ht="18.75" x14ac:dyDescent="0.3">
      <c r="C32" s="35" t="str">
        <f>HYPERLINK("#Samleark!RangeBudgetStart","Til Samleark")</f>
        <v>Til Samleark</v>
      </c>
      <c r="F32" s="35" t="str">
        <f>HYPERLINK("#Vejledning!RangeVejledningStart","Til Vejledning")</f>
        <v>Til Vejledning</v>
      </c>
    </row>
    <row r="35" spans="2:11" ht="20.25" thickBot="1" x14ac:dyDescent="0.35">
      <c r="B35" s="31" t="s">
        <v>86</v>
      </c>
      <c r="C35" s="31" t="s">
        <v>235</v>
      </c>
      <c r="D35" s="31"/>
      <c r="E35" s="31"/>
      <c r="F35" s="31"/>
      <c r="G35" s="31"/>
      <c r="H35" s="31"/>
      <c r="I35" s="31"/>
      <c r="J35" s="31"/>
      <c r="K35" s="31"/>
    </row>
    <row r="36" spans="2:11" ht="15.75" thickTop="1" x14ac:dyDescent="0.25"/>
    <row r="37" spans="2:11" x14ac:dyDescent="0.25">
      <c r="B37" s="33" t="s">
        <v>57</v>
      </c>
      <c r="D37" s="32">
        <f>Tabel_1.9_Molio[[#Totals],[Beregnet budget]]+Tabel_1.9_SK[[#Totals],[m.
Den forventede værdi (middelværdi)]]</f>
        <v>0</v>
      </c>
      <c r="F37" t="s">
        <v>58</v>
      </c>
    </row>
    <row r="39" spans="2:11" ht="20.25" thickBot="1" x14ac:dyDescent="0.35">
      <c r="B39" s="31" t="s">
        <v>252</v>
      </c>
      <c r="C39" s="31" t="s">
        <v>236</v>
      </c>
      <c r="D39" s="31"/>
      <c r="E39" s="31"/>
      <c r="F39" s="31"/>
      <c r="G39" s="31"/>
      <c r="H39" s="31"/>
      <c r="I39" s="31"/>
      <c r="J39" s="31"/>
      <c r="K39" s="31"/>
    </row>
    <row r="40" spans="2:11" ht="15.75" thickTop="1" x14ac:dyDescent="0.25"/>
    <row r="41" spans="2:11" x14ac:dyDescent="0.25">
      <c r="D41" s="25" t="s">
        <v>60</v>
      </c>
      <c r="E41" s="119" t="s">
        <v>51</v>
      </c>
      <c r="F41" s="120"/>
      <c r="G41" s="120"/>
      <c r="H41" s="121"/>
    </row>
    <row r="42" spans="2:11" x14ac:dyDescent="0.25">
      <c r="C42" t="s">
        <v>0</v>
      </c>
      <c r="D42" t="s">
        <v>1</v>
      </c>
      <c r="E42" t="s">
        <v>2</v>
      </c>
      <c r="F42" t="s">
        <v>25</v>
      </c>
      <c r="G42" t="s">
        <v>43</v>
      </c>
      <c r="H42" t="s">
        <v>44</v>
      </c>
    </row>
    <row r="43" spans="2:11" x14ac:dyDescent="0.25">
      <c r="C43" t="s">
        <v>148</v>
      </c>
      <c r="D43" s="30"/>
      <c r="E43" t="s">
        <v>165</v>
      </c>
      <c r="F43" s="1">
        <v>75000</v>
      </c>
      <c r="G43" s="1">
        <f>Tabel_1.9_Molio[[#This Row],[Mængde]]*Tabel_1.9_Molio[[#This Row],[Pris pr. enhed]]</f>
        <v>0</v>
      </c>
      <c r="H43" t="s">
        <v>168</v>
      </c>
    </row>
    <row r="44" spans="2:11" x14ac:dyDescent="0.25">
      <c r="C44" t="s">
        <v>149</v>
      </c>
      <c r="D44" s="30"/>
      <c r="E44" t="s">
        <v>165</v>
      </c>
      <c r="F44" s="1">
        <v>72000</v>
      </c>
      <c r="G44" s="1">
        <f>Tabel_1.9_Molio[[#This Row],[Mængde]]*Tabel_1.9_Molio[[#This Row],[Pris pr. enhed]]</f>
        <v>0</v>
      </c>
      <c r="H44" t="s">
        <v>169</v>
      </c>
    </row>
    <row r="45" spans="2:11" x14ac:dyDescent="0.25">
      <c r="C45" t="s">
        <v>164</v>
      </c>
      <c r="G45" s="1">
        <f>SUBTOTAL(109,Tabel_1.9_Molio[Beregnet budget])</f>
        <v>0</v>
      </c>
    </row>
    <row r="47" spans="2:11" ht="18.75" x14ac:dyDescent="0.3">
      <c r="C47" s="35" t="str">
        <f>HYPERLINK("#Samleark!RangeBudgetStart","Til Samleark")</f>
        <v>Til Samleark</v>
      </c>
      <c r="F47" s="35" t="str">
        <f>HYPERLINK("#Vejledning!RangeVejledningStart","Til Vejledning")</f>
        <v>Til Vejledning</v>
      </c>
    </row>
    <row r="49" spans="2:11" ht="20.25" thickBot="1" x14ac:dyDescent="0.35">
      <c r="B49" s="31" t="s">
        <v>253</v>
      </c>
      <c r="C49" s="31" t="s">
        <v>237</v>
      </c>
      <c r="D49" s="31"/>
      <c r="E49" s="31"/>
      <c r="F49" s="31"/>
      <c r="G49" s="31"/>
      <c r="H49" s="31"/>
      <c r="I49" s="31"/>
      <c r="J49" s="31"/>
      <c r="K49" s="31"/>
    </row>
    <row r="50" spans="2:11" ht="15.75" thickTop="1" x14ac:dyDescent="0.25"/>
    <row r="51" spans="2:11" x14ac:dyDescent="0.25">
      <c r="B51" s="114" t="s">
        <v>6</v>
      </c>
      <c r="C51" s="115"/>
      <c r="D51" s="115"/>
      <c r="E51" s="115"/>
      <c r="F51" s="115"/>
      <c r="G51" s="115"/>
      <c r="H51" s="115"/>
      <c r="I51" s="116" t="s">
        <v>7</v>
      </c>
      <c r="J51" s="117"/>
      <c r="K51" s="118"/>
    </row>
    <row r="52" spans="2:11" x14ac:dyDescent="0.25">
      <c r="B52" s="3"/>
      <c r="C52" s="4"/>
      <c r="D52" s="3"/>
      <c r="E52" s="26"/>
      <c r="F52" s="109" t="s">
        <v>30</v>
      </c>
      <c r="G52" s="110"/>
      <c r="H52" s="111"/>
      <c r="I52" s="112" t="s">
        <v>31</v>
      </c>
      <c r="J52" s="112"/>
      <c r="K52" s="113"/>
    </row>
    <row r="53" spans="2:11" ht="75" x14ac:dyDescent="0.25">
      <c r="B53" s="5" t="s">
        <v>268</v>
      </c>
      <c r="C53" s="6" t="s">
        <v>0</v>
      </c>
      <c r="D53" s="5" t="s">
        <v>1</v>
      </c>
      <c r="E53" s="27" t="s">
        <v>2</v>
      </c>
      <c r="F53" s="9" t="s">
        <v>27</v>
      </c>
      <c r="G53" s="2" t="s">
        <v>28</v>
      </c>
      <c r="H53" s="10" t="s">
        <v>29</v>
      </c>
      <c r="I53" s="14" t="s">
        <v>3</v>
      </c>
      <c r="J53" s="15" t="s">
        <v>4</v>
      </c>
      <c r="K53" s="16" t="s">
        <v>5</v>
      </c>
    </row>
    <row r="54" spans="2:11" x14ac:dyDescent="0.25">
      <c r="B54" s="19" t="s">
        <v>150</v>
      </c>
      <c r="C54" s="20" t="s">
        <v>153</v>
      </c>
      <c r="D54" s="21"/>
      <c r="E54" s="28" t="s">
        <v>24</v>
      </c>
      <c r="F54" s="22">
        <v>145</v>
      </c>
      <c r="G54" s="23">
        <v>155</v>
      </c>
      <c r="H54" s="24">
        <v>175</v>
      </c>
      <c r="I54" s="11">
        <f>Tabel_1.9_SK[[#This Row],[Mængde]]*(Tabel_1.9_SK[[#This Row],[a. 
Den absolut mindste enhedspris, der forekommer mulig
(Optimistisk)]]
+3*Tabel_1.9_SK[[#This Row],[b. 
Den mest sandsynlige enhedspris]]
+Tabel_1.9_SK[[#This Row],[c. 
Den absolut størst tænkelige enhedspris
(pessimistisk)]])/5</f>
        <v>0</v>
      </c>
      <c r="J54" s="1">
        <f>Tabel_1.9_SK[[#This Row],[Mængde]]*(Tabel_1.9_SK[[#This Row],[c. 
Den absolut størst tænkelige enhedspris
(pessimistisk)]]
-Tabel_1.9_SK[[#This Row],[a. 
Den absolut mindste enhedspris, der forekommer mulig
(Optimistisk)]])/5</f>
        <v>0</v>
      </c>
      <c r="K54" s="12">
        <f>Tabel_1.9_SK[[#This Row],[s.
spredningen
(standardafvigelsen)]]^2*0.000001</f>
        <v>0</v>
      </c>
    </row>
    <row r="55" spans="2:11" x14ac:dyDescent="0.25">
      <c r="B55" s="19" t="s">
        <v>151</v>
      </c>
      <c r="C55" s="20" t="s">
        <v>156</v>
      </c>
      <c r="D55" s="21"/>
      <c r="E55" s="28"/>
      <c r="F55" s="22"/>
      <c r="G55" s="23"/>
      <c r="H55" s="24"/>
      <c r="I55" s="11">
        <f>Tabel_1.9_SK[[#This Row],[Mængde]]*(Tabel_1.9_SK[[#This Row],[a. 
Den absolut mindste enhedspris, der forekommer mulig
(Optimistisk)]]
+3*Tabel_1.9_SK[[#This Row],[b. 
Den mest sandsynlige enhedspris]]
+Tabel_1.9_SK[[#This Row],[c. 
Den absolut størst tænkelige enhedspris
(pessimistisk)]])/5</f>
        <v>0</v>
      </c>
      <c r="J55" s="1">
        <f>Tabel_1.9_SK[[#This Row],[Mængde]]*(Tabel_1.9_SK[[#This Row],[c. 
Den absolut størst tænkelige enhedspris
(pessimistisk)]]
-Tabel_1.9_SK[[#This Row],[a. 
Den absolut mindste enhedspris, der forekommer mulig
(Optimistisk)]])/5</f>
        <v>0</v>
      </c>
      <c r="K55" s="12">
        <f>Tabel_1.9_SK[[#This Row],[s.
spredningen
(standardafvigelsen)]]^2*0.000001</f>
        <v>0</v>
      </c>
    </row>
    <row r="56" spans="2:11" x14ac:dyDescent="0.25">
      <c r="B56" s="19" t="s">
        <v>152</v>
      </c>
      <c r="C56" s="20"/>
      <c r="D56" s="21"/>
      <c r="E56" s="28"/>
      <c r="F56" s="22"/>
      <c r="G56" s="23"/>
      <c r="H56" s="24"/>
      <c r="I56" s="11">
        <f>Tabel_1.9_SK[[#This Row],[Mængde]]*(Tabel_1.9_SK[[#This Row],[a. 
Den absolut mindste enhedspris, der forekommer mulig
(Optimistisk)]]
+3*Tabel_1.9_SK[[#This Row],[b. 
Den mest sandsynlige enhedspris]]
+Tabel_1.9_SK[[#This Row],[c. 
Den absolut størst tænkelige enhedspris
(pessimistisk)]])/5</f>
        <v>0</v>
      </c>
      <c r="J56" s="1">
        <f>Tabel_1.9_SK[[#This Row],[Mængde]]*(Tabel_1.9_SK[[#This Row],[c. 
Den absolut størst tænkelige enhedspris
(pessimistisk)]]
-Tabel_1.9_SK[[#This Row],[a. 
Den absolut mindste enhedspris, der forekommer mulig
(Optimistisk)]])/5</f>
        <v>0</v>
      </c>
      <c r="K56" s="12">
        <f>Tabel_1.9_SK[[#This Row],[s.
spredningen
(standardafvigelsen)]]^2*0.000001</f>
        <v>0</v>
      </c>
    </row>
    <row r="57" spans="2:11" x14ac:dyDescent="0.25">
      <c r="B57" s="19" t="s">
        <v>154</v>
      </c>
      <c r="C57" s="20"/>
      <c r="D57" s="21"/>
      <c r="E57" s="28"/>
      <c r="F57" s="22"/>
      <c r="G57" s="23"/>
      <c r="H57" s="24"/>
      <c r="I57" s="11">
        <f>Tabel_1.9_SK[[#This Row],[Mængde]]*(Tabel_1.9_SK[[#This Row],[a. 
Den absolut mindste enhedspris, der forekommer mulig
(Optimistisk)]]
+3*Tabel_1.9_SK[[#This Row],[b. 
Den mest sandsynlige enhedspris]]
+Tabel_1.9_SK[[#This Row],[c. 
Den absolut størst tænkelige enhedspris
(pessimistisk)]])/5</f>
        <v>0</v>
      </c>
      <c r="J57" s="1">
        <f>Tabel_1.9_SK[[#This Row],[Mængde]]*(Tabel_1.9_SK[[#This Row],[c. 
Den absolut størst tænkelige enhedspris
(pessimistisk)]]
-Tabel_1.9_SK[[#This Row],[a. 
Den absolut mindste enhedspris, der forekommer mulig
(Optimistisk)]])/5</f>
        <v>0</v>
      </c>
      <c r="K57" s="12">
        <f>Tabel_1.9_SK[[#This Row],[s.
spredningen
(standardafvigelsen)]]^2*0.000001</f>
        <v>0</v>
      </c>
    </row>
    <row r="58" spans="2:11" x14ac:dyDescent="0.25">
      <c r="B58" s="19" t="s">
        <v>155</v>
      </c>
      <c r="C58" s="20"/>
      <c r="D58" s="21"/>
      <c r="E58" s="28"/>
      <c r="F58" s="22"/>
      <c r="G58" s="23"/>
      <c r="H58" s="24"/>
      <c r="I58" s="11">
        <f>Tabel_1.9_SK[[#This Row],[Mængde]]*(Tabel_1.9_SK[[#This Row],[a. 
Den absolut mindste enhedspris, der forekommer mulig
(Optimistisk)]]
+3*Tabel_1.9_SK[[#This Row],[b. 
Den mest sandsynlige enhedspris]]
+Tabel_1.9_SK[[#This Row],[c. 
Den absolut størst tænkelige enhedspris
(pessimistisk)]])/5</f>
        <v>0</v>
      </c>
      <c r="J58" s="1">
        <f>Tabel_1.9_SK[[#This Row],[Mængde]]*(Tabel_1.9_SK[[#This Row],[c. 
Den absolut størst tænkelige enhedspris
(pessimistisk)]]
-Tabel_1.9_SK[[#This Row],[a. 
Den absolut mindste enhedspris, der forekommer mulig
(Optimistisk)]])/5</f>
        <v>0</v>
      </c>
      <c r="K58" s="12">
        <f>Tabel_1.9_SK[[#This Row],[s.
spredningen
(standardafvigelsen)]]^2*0.000001</f>
        <v>0</v>
      </c>
    </row>
    <row r="59" spans="2:11" x14ac:dyDescent="0.25">
      <c r="B59" s="19" t="s">
        <v>157</v>
      </c>
      <c r="C59" s="20"/>
      <c r="D59" s="21"/>
      <c r="E59" s="28"/>
      <c r="F59" s="22"/>
      <c r="G59" s="23"/>
      <c r="H59" s="24"/>
      <c r="I59" s="11">
        <f>Tabel_1.9_SK[[#This Row],[Mængde]]*(Tabel_1.9_SK[[#This Row],[a. 
Den absolut mindste enhedspris, der forekommer mulig
(Optimistisk)]]
+3*Tabel_1.9_SK[[#This Row],[b. 
Den mest sandsynlige enhedspris]]
+Tabel_1.9_SK[[#This Row],[c. 
Den absolut størst tænkelige enhedspris
(pessimistisk)]])/5</f>
        <v>0</v>
      </c>
      <c r="J59" s="1">
        <f>Tabel_1.9_SK[[#This Row],[Mængde]]*(Tabel_1.9_SK[[#This Row],[c. 
Den absolut størst tænkelige enhedspris
(pessimistisk)]]
-Tabel_1.9_SK[[#This Row],[a. 
Den absolut mindste enhedspris, der forekommer mulig
(Optimistisk)]])/5</f>
        <v>0</v>
      </c>
      <c r="K59" s="12">
        <f>Tabel_1.9_SK[[#This Row],[s.
spredningen
(standardafvigelsen)]]^2*0.000001</f>
        <v>0</v>
      </c>
    </row>
    <row r="60" spans="2:11" x14ac:dyDescent="0.25">
      <c r="B60" s="19" t="s">
        <v>158</v>
      </c>
      <c r="C60" s="20"/>
      <c r="D60" s="21"/>
      <c r="E60" s="28"/>
      <c r="F60" s="22"/>
      <c r="G60" s="23"/>
      <c r="H60" s="24"/>
      <c r="I60" s="11">
        <f>Tabel_1.9_SK[[#This Row],[Mængde]]*(Tabel_1.9_SK[[#This Row],[a. 
Den absolut mindste enhedspris, der forekommer mulig
(Optimistisk)]]
+3*Tabel_1.9_SK[[#This Row],[b. 
Den mest sandsynlige enhedspris]]
+Tabel_1.9_SK[[#This Row],[c. 
Den absolut størst tænkelige enhedspris
(pessimistisk)]])/5</f>
        <v>0</v>
      </c>
      <c r="J60" s="1">
        <f>Tabel_1.9_SK[[#This Row],[Mængde]]*(Tabel_1.9_SK[[#This Row],[c. 
Den absolut størst tænkelige enhedspris
(pessimistisk)]]
-Tabel_1.9_SK[[#This Row],[a. 
Den absolut mindste enhedspris, der forekommer mulig
(Optimistisk)]])/5</f>
        <v>0</v>
      </c>
      <c r="K60" s="12">
        <f>Tabel_1.9_SK[[#This Row],[s.
spredningen
(standardafvigelsen)]]^2*0.000001</f>
        <v>0</v>
      </c>
    </row>
    <row r="61" spans="2:11" x14ac:dyDescent="0.25">
      <c r="B61" s="19" t="s">
        <v>160</v>
      </c>
      <c r="C61" s="20"/>
      <c r="D61" s="21"/>
      <c r="E61" s="28"/>
      <c r="F61" s="22"/>
      <c r="G61" s="23"/>
      <c r="H61" s="24"/>
      <c r="I61" s="11">
        <f>Tabel_1.9_SK[[#This Row],[Mængde]]*(Tabel_1.9_SK[[#This Row],[a. 
Den absolut mindste enhedspris, der forekommer mulig
(Optimistisk)]]
+3*Tabel_1.9_SK[[#This Row],[b. 
Den mest sandsynlige enhedspris]]
+Tabel_1.9_SK[[#This Row],[c. 
Den absolut størst tænkelige enhedspris
(pessimistisk)]])/5</f>
        <v>0</v>
      </c>
      <c r="J61" s="1">
        <f>Tabel_1.9_SK[[#This Row],[Mængde]]*(Tabel_1.9_SK[[#This Row],[c. 
Den absolut størst tænkelige enhedspris
(pessimistisk)]]
-Tabel_1.9_SK[[#This Row],[a. 
Den absolut mindste enhedspris, der forekommer mulig
(Optimistisk)]])/5</f>
        <v>0</v>
      </c>
      <c r="K61" s="12">
        <f>Tabel_1.9_SK[[#This Row],[s.
spredningen
(standardafvigelsen)]]^2*0.000001</f>
        <v>0</v>
      </c>
    </row>
    <row r="62" spans="2:11" x14ac:dyDescent="0.25">
      <c r="B62" s="19" t="s">
        <v>161</v>
      </c>
      <c r="C62" s="20"/>
      <c r="D62" s="21"/>
      <c r="E62" s="28"/>
      <c r="F62" s="22"/>
      <c r="G62" s="23"/>
      <c r="H62" s="24"/>
      <c r="I62" s="11">
        <f>Tabel_1.9_SK[[#This Row],[Mængde]]*(Tabel_1.9_SK[[#This Row],[a. 
Den absolut mindste enhedspris, der forekommer mulig
(Optimistisk)]]
+3*Tabel_1.9_SK[[#This Row],[b. 
Den mest sandsynlige enhedspris]]
+Tabel_1.9_SK[[#This Row],[c. 
Den absolut størst tænkelige enhedspris
(pessimistisk)]])/5</f>
        <v>0</v>
      </c>
      <c r="J62" s="1">
        <f>Tabel_1.9_SK[[#This Row],[Mængde]]*(Tabel_1.9_SK[[#This Row],[c. 
Den absolut størst tænkelige enhedspris
(pessimistisk)]]
-Tabel_1.9_SK[[#This Row],[a. 
Den absolut mindste enhedspris, der forekommer mulig
(Optimistisk)]])/5</f>
        <v>0</v>
      </c>
      <c r="K62" s="12">
        <f>Tabel_1.9_SK[[#This Row],[s.
spredningen
(standardafvigelsen)]]^2*0.000001</f>
        <v>0</v>
      </c>
    </row>
    <row r="63" spans="2:11" x14ac:dyDescent="0.25">
      <c r="B63" s="19" t="s">
        <v>162</v>
      </c>
      <c r="C63" s="20"/>
      <c r="D63" s="21"/>
      <c r="E63" s="28"/>
      <c r="F63" s="22"/>
      <c r="G63" s="23"/>
      <c r="H63" s="24"/>
      <c r="I63" s="11">
        <f>Tabel_1.9_SK[[#This Row],[Mængde]]*(Tabel_1.9_SK[[#This Row],[a. 
Den absolut mindste enhedspris, der forekommer mulig
(Optimistisk)]]
+3*Tabel_1.9_SK[[#This Row],[b. 
Den mest sandsynlige enhedspris]]
+Tabel_1.9_SK[[#This Row],[c. 
Den absolut størst tænkelige enhedspris
(pessimistisk)]])/5</f>
        <v>0</v>
      </c>
      <c r="J63" s="1">
        <f>Tabel_1.9_SK[[#This Row],[Mængde]]*(Tabel_1.9_SK[[#This Row],[c. 
Den absolut størst tænkelige enhedspris
(pessimistisk)]]
-Tabel_1.9_SK[[#This Row],[a. 
Den absolut mindste enhedspris, der forekommer mulig
(Optimistisk)]])/5</f>
        <v>0</v>
      </c>
      <c r="K63" s="12">
        <f>Tabel_1.9_SK[[#This Row],[s.
spredningen
(standardafvigelsen)]]^2*0.000001</f>
        <v>0</v>
      </c>
    </row>
    <row r="64" spans="2:11" x14ac:dyDescent="0.25">
      <c r="B64" s="19"/>
      <c r="C64" s="20"/>
      <c r="D64" s="21"/>
      <c r="E64" s="28"/>
      <c r="F64" s="22"/>
      <c r="G64" s="23"/>
      <c r="H64" s="24"/>
      <c r="I64" s="11">
        <f>Tabel_1.9_SK[[#This Row],[Mængde]]*(Tabel_1.9_SK[[#This Row],[a. 
Den absolut mindste enhedspris, der forekommer mulig
(Optimistisk)]]
+3*Tabel_1.9_SK[[#This Row],[b. 
Den mest sandsynlige enhedspris]]
+Tabel_1.9_SK[[#This Row],[c. 
Den absolut størst tænkelige enhedspris
(pessimistisk)]])/5</f>
        <v>0</v>
      </c>
      <c r="J64" s="1">
        <f>Tabel_1.9_SK[[#This Row],[Mængde]]*(Tabel_1.9_SK[[#This Row],[c. 
Den absolut størst tænkelige enhedspris
(pessimistisk)]]
-Tabel_1.9_SK[[#This Row],[a. 
Den absolut mindste enhedspris, der forekommer mulig
(Optimistisk)]])/5</f>
        <v>0</v>
      </c>
      <c r="K64" s="12">
        <f>Tabel_1.9_SK[[#This Row],[s.
spredningen
(standardafvigelsen)]]^2*0.000001</f>
        <v>0</v>
      </c>
    </row>
    <row r="65" spans="2:11" x14ac:dyDescent="0.25">
      <c r="B65" s="7" t="s">
        <v>86</v>
      </c>
      <c r="C65" s="8" t="s">
        <v>163</v>
      </c>
      <c r="D65" s="7"/>
      <c r="E65" s="29"/>
      <c r="F65" s="7"/>
      <c r="G65" s="13"/>
      <c r="H65" s="8"/>
      <c r="I65" s="17">
        <f>SUBTOTAL(109,Tabel_1.9_SK[m.
Den forventede værdi (middelværdi)])</f>
        <v>0</v>
      </c>
      <c r="J65" s="13"/>
      <c r="K65" s="18">
        <f>SUBTOTAL(109,Tabel_1.9_SK[v.
varians (s2x10-7)])</f>
        <v>0</v>
      </c>
    </row>
    <row r="67" spans="2:11" ht="18.75" x14ac:dyDescent="0.3">
      <c r="C67" s="35" t="str">
        <f>HYPERLINK("#Samleark!RangeBudgetStart","Til Samleark")</f>
        <v>Til Samleark</v>
      </c>
      <c r="F67" s="35" t="str">
        <f>HYPERLINK("#Vejledning!RangeVejledningStart","Til Vejledning")</f>
        <v>Til Vejledning</v>
      </c>
    </row>
    <row r="70" spans="2:11" ht="20.25" thickBot="1" x14ac:dyDescent="0.35">
      <c r="B70" s="31" t="s">
        <v>88</v>
      </c>
      <c r="C70" s="31" t="s">
        <v>434</v>
      </c>
      <c r="D70" s="31"/>
      <c r="E70" s="31"/>
      <c r="F70" s="31"/>
      <c r="G70" s="31"/>
      <c r="H70" s="31"/>
      <c r="I70" s="31"/>
      <c r="J70" s="31"/>
      <c r="K70" s="31"/>
    </row>
    <row r="71" spans="2:11" ht="15.75" thickTop="1" x14ac:dyDescent="0.25"/>
    <row r="72" spans="2:11" x14ac:dyDescent="0.25">
      <c r="B72" s="33" t="s">
        <v>57</v>
      </c>
      <c r="D72" s="32">
        <f>Tabel_1.10_Molio[[#Totals],[Beregnet budget]]+Tabel_1.10_SK[[#Totals],[m.
Den forventede værdi (middelværdi)]]</f>
        <v>0</v>
      </c>
      <c r="F72" t="s">
        <v>58</v>
      </c>
    </row>
    <row r="74" spans="2:11" ht="20.25" thickBot="1" x14ac:dyDescent="0.35">
      <c r="B74" s="31" t="s">
        <v>260</v>
      </c>
      <c r="C74" s="31" t="s">
        <v>435</v>
      </c>
      <c r="D74" s="31"/>
      <c r="E74" s="31"/>
      <c r="F74" s="31"/>
      <c r="G74" s="31"/>
      <c r="H74" s="31"/>
      <c r="I74" s="31"/>
      <c r="J74" s="31"/>
      <c r="K74" s="31"/>
    </row>
    <row r="75" spans="2:11" ht="15.75" thickTop="1" x14ac:dyDescent="0.25"/>
    <row r="76" spans="2:11" x14ac:dyDescent="0.25">
      <c r="D76" s="25" t="s">
        <v>60</v>
      </c>
      <c r="E76" s="119" t="s">
        <v>51</v>
      </c>
      <c r="F76" s="120"/>
      <c r="G76" s="120"/>
      <c r="H76" s="121"/>
    </row>
    <row r="77" spans="2:11" x14ac:dyDescent="0.25">
      <c r="C77" t="s">
        <v>0</v>
      </c>
      <c r="D77" t="s">
        <v>1</v>
      </c>
      <c r="E77" t="s">
        <v>2</v>
      </c>
      <c r="F77" t="s">
        <v>25</v>
      </c>
      <c r="G77" t="s">
        <v>43</v>
      </c>
      <c r="H77" t="s">
        <v>44</v>
      </c>
    </row>
    <row r="78" spans="2:11" x14ac:dyDescent="0.25">
      <c r="C78" t="s">
        <v>166</v>
      </c>
      <c r="D78" s="30"/>
      <c r="E78" t="s">
        <v>24</v>
      </c>
      <c r="F78" s="1">
        <v>1200</v>
      </c>
      <c r="G78" s="1">
        <f>Tabel_1.10_Molio[[#This Row],[Mængde]]*Tabel_1.10_Molio[[#This Row],[Pris pr. enhed]]</f>
        <v>0</v>
      </c>
      <c r="H78" t="s">
        <v>453</v>
      </c>
    </row>
    <row r="79" spans="2:11" x14ac:dyDescent="0.25">
      <c r="C79" t="s">
        <v>167</v>
      </c>
      <c r="D79" s="30"/>
      <c r="E79" t="s">
        <v>24</v>
      </c>
      <c r="F79" s="1">
        <v>1600</v>
      </c>
      <c r="G79" s="1">
        <f>Tabel_1.10_Molio[[#This Row],[Mængde]]*Tabel_1.10_Molio[[#This Row],[Pris pr. enhed]]</f>
        <v>0</v>
      </c>
      <c r="H79" t="s">
        <v>453</v>
      </c>
    </row>
    <row r="80" spans="2:11" x14ac:dyDescent="0.25">
      <c r="D80" s="30"/>
      <c r="F80" s="1"/>
      <c r="G80" s="1">
        <f>Tabel_1.10_Molio[[#This Row],[Mængde]]*Tabel_1.10_Molio[[#This Row],[Pris pr. enhed]]</f>
        <v>0</v>
      </c>
    </row>
    <row r="81" spans="2:11" x14ac:dyDescent="0.25">
      <c r="C81" t="s">
        <v>173</v>
      </c>
      <c r="G81" s="1">
        <f>SUBTOTAL(109,Tabel_1.10_Molio[Beregnet budget])</f>
        <v>0</v>
      </c>
    </row>
    <row r="83" spans="2:11" ht="18.75" x14ac:dyDescent="0.3">
      <c r="C83" s="35" t="str">
        <f>HYPERLINK("#Samleark!RangeBudgetStart","Til Samleark")</f>
        <v>Til Samleark</v>
      </c>
      <c r="F83" s="35" t="str">
        <f>HYPERLINK("#Vejledning!RangeVejledningStart","Til Vejledning")</f>
        <v>Til Vejledning</v>
      </c>
    </row>
    <row r="85" spans="2:11" ht="20.25" thickBot="1" x14ac:dyDescent="0.35">
      <c r="B85" s="31" t="s">
        <v>261</v>
      </c>
      <c r="C85" s="31" t="s">
        <v>423</v>
      </c>
      <c r="D85" s="31"/>
      <c r="E85" s="31"/>
      <c r="F85" s="31"/>
      <c r="G85" s="31"/>
      <c r="H85" s="31"/>
      <c r="I85" s="31"/>
      <c r="J85" s="31"/>
      <c r="K85" s="31"/>
    </row>
    <row r="86" spans="2:11" ht="15.75" thickTop="1" x14ac:dyDescent="0.25"/>
    <row r="87" spans="2:11" x14ac:dyDescent="0.25">
      <c r="B87" s="114" t="s">
        <v>6</v>
      </c>
      <c r="C87" s="115"/>
      <c r="D87" s="115"/>
      <c r="E87" s="115"/>
      <c r="F87" s="115"/>
      <c r="G87" s="115"/>
      <c r="H87" s="115"/>
      <c r="I87" s="116" t="s">
        <v>7</v>
      </c>
      <c r="J87" s="117"/>
      <c r="K87" s="118"/>
    </row>
    <row r="88" spans="2:11" x14ac:dyDescent="0.25">
      <c r="B88" s="3"/>
      <c r="C88" s="4"/>
      <c r="D88" s="3"/>
      <c r="E88" s="26"/>
      <c r="F88" s="109" t="s">
        <v>30</v>
      </c>
      <c r="G88" s="110"/>
      <c r="H88" s="111"/>
      <c r="I88" s="112" t="s">
        <v>31</v>
      </c>
      <c r="J88" s="112"/>
      <c r="K88" s="113"/>
    </row>
    <row r="89" spans="2:11" ht="75" x14ac:dyDescent="0.25">
      <c r="B89" s="5" t="s">
        <v>268</v>
      </c>
      <c r="C89" s="6" t="s">
        <v>0</v>
      </c>
      <c r="D89" s="5" t="s">
        <v>1</v>
      </c>
      <c r="E89" s="27" t="s">
        <v>2</v>
      </c>
      <c r="F89" s="9" t="s">
        <v>27</v>
      </c>
      <c r="G89" s="2" t="s">
        <v>28</v>
      </c>
      <c r="H89" s="10" t="s">
        <v>29</v>
      </c>
      <c r="I89" s="14" t="s">
        <v>3</v>
      </c>
      <c r="J89" s="15" t="s">
        <v>4</v>
      </c>
      <c r="K89" s="16" t="s">
        <v>5</v>
      </c>
    </row>
    <row r="90" spans="2:11" ht="45" x14ac:dyDescent="0.25">
      <c r="B90" s="91" t="s">
        <v>170</v>
      </c>
      <c r="C90" s="90" t="s">
        <v>402</v>
      </c>
      <c r="D90" s="21"/>
      <c r="E90" s="28"/>
      <c r="F90" s="22"/>
      <c r="G90" s="23"/>
      <c r="H90" s="24"/>
      <c r="I90" s="11">
        <f>Tabel_1.10_SK[[#This Row],[Mængde]]*(Tabel_1.10_SK[[#This Row],[a. 
Den absolut mindste enhedspris, der forekommer mulig
(Optimistisk)]]
+3*Tabel_1.10_SK[[#This Row],[b. 
Den mest sandsynlige enhedspris]]
+Tabel_1.10_SK[[#This Row],[c. 
Den absolut størst tænkelige enhedspris
(pessimistisk)]])/5</f>
        <v>0</v>
      </c>
      <c r="J90" s="1">
        <f>Tabel_1.10_SK[[#This Row],[Mængde]]*(Tabel_1.10_SK[[#This Row],[c. 
Den absolut størst tænkelige enhedspris
(pessimistisk)]]
-Tabel_1.10_SK[[#This Row],[a. 
Den absolut mindste enhedspris, der forekommer mulig
(Optimistisk)]])/5</f>
        <v>0</v>
      </c>
      <c r="K90" s="12">
        <f>Tabel_1.10_SK[[#This Row],[s.
spredningen
(standardafvigelsen)]]^2*0.000001</f>
        <v>0</v>
      </c>
    </row>
    <row r="91" spans="2:11" x14ac:dyDescent="0.25">
      <c r="B91" s="19" t="s">
        <v>171</v>
      </c>
      <c r="C91" s="92" t="s">
        <v>403</v>
      </c>
      <c r="D91" s="21"/>
      <c r="E91" s="28"/>
      <c r="F91" s="22"/>
      <c r="G91" s="23"/>
      <c r="H91" s="24"/>
      <c r="I91" s="11">
        <f>Tabel_1.10_SK[[#This Row],[Mængde]]*(Tabel_1.10_SK[[#This Row],[a. 
Den absolut mindste enhedspris, der forekommer mulig
(Optimistisk)]]
+3*Tabel_1.10_SK[[#This Row],[b. 
Den mest sandsynlige enhedspris]]
+Tabel_1.10_SK[[#This Row],[c. 
Den absolut størst tænkelige enhedspris
(pessimistisk)]])/5</f>
        <v>0</v>
      </c>
      <c r="J91" s="1">
        <f>Tabel_1.10_SK[[#This Row],[Mængde]]*(Tabel_1.10_SK[[#This Row],[c. 
Den absolut størst tænkelige enhedspris
(pessimistisk)]]
-Tabel_1.10_SK[[#This Row],[a. 
Den absolut mindste enhedspris, der forekommer mulig
(Optimistisk)]])/5</f>
        <v>0</v>
      </c>
      <c r="K91" s="12">
        <f>Tabel_1.10_SK[[#This Row],[s.
spredningen
(standardafvigelsen)]]^2*0.000001</f>
        <v>0</v>
      </c>
    </row>
    <row r="92" spans="2:11" x14ac:dyDescent="0.25">
      <c r="B92" s="19" t="s">
        <v>172</v>
      </c>
      <c r="C92" s="92" t="s">
        <v>444</v>
      </c>
      <c r="D92" s="21"/>
      <c r="E92" s="28"/>
      <c r="F92" s="22"/>
      <c r="G92" s="23"/>
      <c r="H92" s="24"/>
      <c r="I92" s="11">
        <f>Tabel_1.10_SK[[#This Row],[Mængde]]*(Tabel_1.10_SK[[#This Row],[a. 
Den absolut mindste enhedspris, der forekommer mulig
(Optimistisk)]]
+3*Tabel_1.10_SK[[#This Row],[b. 
Den mest sandsynlige enhedspris]]
+Tabel_1.10_SK[[#This Row],[c. 
Den absolut størst tænkelige enhedspris
(pessimistisk)]])/5</f>
        <v>0</v>
      </c>
      <c r="J92" s="1">
        <f>Tabel_1.10_SK[[#This Row],[Mængde]]*(Tabel_1.10_SK[[#This Row],[c. 
Den absolut størst tænkelige enhedspris
(pessimistisk)]]
-Tabel_1.10_SK[[#This Row],[a. 
Den absolut mindste enhedspris, der forekommer mulig
(Optimistisk)]])/5</f>
        <v>0</v>
      </c>
      <c r="K92" s="12">
        <f>Tabel_1.10_SK[[#This Row],[s.
spredningen
(standardafvigelsen)]]^2*0.000001</f>
        <v>0</v>
      </c>
    </row>
    <row r="93" spans="2:11" x14ac:dyDescent="0.25">
      <c r="B93" s="19" t="s">
        <v>436</v>
      </c>
      <c r="C93" s="92" t="s">
        <v>404</v>
      </c>
      <c r="D93" s="21"/>
      <c r="E93" s="28"/>
      <c r="F93" s="22"/>
      <c r="G93" s="23"/>
      <c r="H93" s="24"/>
      <c r="I93" s="11">
        <f>Tabel_1.10_SK[[#This Row],[Mængde]]*(Tabel_1.10_SK[[#This Row],[a. 
Den absolut mindste enhedspris, der forekommer mulig
(Optimistisk)]]
+3*Tabel_1.10_SK[[#This Row],[b. 
Den mest sandsynlige enhedspris]]
+Tabel_1.10_SK[[#This Row],[c. 
Den absolut størst tænkelige enhedspris
(pessimistisk)]])/5</f>
        <v>0</v>
      </c>
      <c r="J93" s="1">
        <f>Tabel_1.10_SK[[#This Row],[Mængde]]*(Tabel_1.10_SK[[#This Row],[c. 
Den absolut størst tænkelige enhedspris
(pessimistisk)]]
-Tabel_1.10_SK[[#This Row],[a. 
Den absolut mindste enhedspris, der forekommer mulig
(Optimistisk)]])/5</f>
        <v>0</v>
      </c>
      <c r="K93" s="12">
        <f>Tabel_1.10_SK[[#This Row],[s.
spredningen
(standardafvigelsen)]]^2*0.000001</f>
        <v>0</v>
      </c>
    </row>
    <row r="94" spans="2:11" x14ac:dyDescent="0.25">
      <c r="B94" s="19" t="s">
        <v>437</v>
      </c>
      <c r="C94" s="92" t="s">
        <v>405</v>
      </c>
      <c r="D94" s="21"/>
      <c r="E94" s="28"/>
      <c r="F94" s="22"/>
      <c r="G94" s="23"/>
      <c r="H94" s="24"/>
      <c r="I94" s="11">
        <f>Tabel_1.10_SK[[#This Row],[Mængde]]*(Tabel_1.10_SK[[#This Row],[a. 
Den absolut mindste enhedspris, der forekommer mulig
(Optimistisk)]]
+3*Tabel_1.10_SK[[#This Row],[b. 
Den mest sandsynlige enhedspris]]
+Tabel_1.10_SK[[#This Row],[c. 
Den absolut størst tænkelige enhedspris
(pessimistisk)]])/5</f>
        <v>0</v>
      </c>
      <c r="J94" s="1">
        <f>Tabel_1.10_SK[[#This Row],[Mængde]]*(Tabel_1.10_SK[[#This Row],[c. 
Den absolut størst tænkelige enhedspris
(pessimistisk)]]
-Tabel_1.10_SK[[#This Row],[a. 
Den absolut mindste enhedspris, der forekommer mulig
(Optimistisk)]])/5</f>
        <v>0</v>
      </c>
      <c r="K94" s="12">
        <f>Tabel_1.10_SK[[#This Row],[s.
spredningen
(standardafvigelsen)]]^2*0.000001</f>
        <v>0</v>
      </c>
    </row>
    <row r="95" spans="2:11" x14ac:dyDescent="0.25">
      <c r="B95" s="19" t="s">
        <v>438</v>
      </c>
      <c r="C95" s="92" t="s">
        <v>406</v>
      </c>
      <c r="D95" s="21"/>
      <c r="E95" s="28"/>
      <c r="F95" s="22"/>
      <c r="G95" s="23"/>
      <c r="H95" s="24"/>
      <c r="I95" s="11">
        <f>Tabel_1.10_SK[[#This Row],[Mængde]]*(Tabel_1.10_SK[[#This Row],[a. 
Den absolut mindste enhedspris, der forekommer mulig
(Optimistisk)]]
+3*Tabel_1.10_SK[[#This Row],[b. 
Den mest sandsynlige enhedspris]]
+Tabel_1.10_SK[[#This Row],[c. 
Den absolut størst tænkelige enhedspris
(pessimistisk)]])/5</f>
        <v>0</v>
      </c>
      <c r="J95" s="1">
        <f>Tabel_1.10_SK[[#This Row],[Mængde]]*(Tabel_1.10_SK[[#This Row],[c. 
Den absolut størst tænkelige enhedspris
(pessimistisk)]]
-Tabel_1.10_SK[[#This Row],[a. 
Den absolut mindste enhedspris, der forekommer mulig
(Optimistisk)]])/5</f>
        <v>0</v>
      </c>
      <c r="K95" s="12">
        <f>Tabel_1.10_SK[[#This Row],[s.
spredningen
(standardafvigelsen)]]^2*0.000001</f>
        <v>0</v>
      </c>
    </row>
    <row r="96" spans="2:11" x14ac:dyDescent="0.25">
      <c r="B96" s="19" t="s">
        <v>439</v>
      </c>
      <c r="C96" s="92" t="s">
        <v>407</v>
      </c>
      <c r="D96" s="21"/>
      <c r="E96" s="28"/>
      <c r="F96" s="22"/>
      <c r="G96" s="23"/>
      <c r="H96" s="24"/>
      <c r="I96" s="11">
        <f>Tabel_1.10_SK[[#This Row],[Mængde]]*(Tabel_1.10_SK[[#This Row],[a. 
Den absolut mindste enhedspris, der forekommer mulig
(Optimistisk)]]
+3*Tabel_1.10_SK[[#This Row],[b. 
Den mest sandsynlige enhedspris]]
+Tabel_1.10_SK[[#This Row],[c. 
Den absolut størst tænkelige enhedspris
(pessimistisk)]])/5</f>
        <v>0</v>
      </c>
      <c r="J96" s="1">
        <f>Tabel_1.10_SK[[#This Row],[Mængde]]*(Tabel_1.10_SK[[#This Row],[c. 
Den absolut størst tænkelige enhedspris
(pessimistisk)]]
-Tabel_1.10_SK[[#This Row],[a. 
Den absolut mindste enhedspris, der forekommer mulig
(Optimistisk)]])/5</f>
        <v>0</v>
      </c>
      <c r="K96" s="12">
        <f>Tabel_1.10_SK[[#This Row],[s.
spredningen
(standardafvigelsen)]]^2*0.000001</f>
        <v>0</v>
      </c>
    </row>
    <row r="97" spans="2:11" x14ac:dyDescent="0.25">
      <c r="B97" s="19" t="s">
        <v>440</v>
      </c>
      <c r="C97" s="92" t="s">
        <v>408</v>
      </c>
      <c r="D97" s="21"/>
      <c r="E97" s="28"/>
      <c r="F97" s="22"/>
      <c r="G97" s="23"/>
      <c r="H97" s="24"/>
      <c r="I97" s="11">
        <f>Tabel_1.10_SK[[#This Row],[Mængde]]*(Tabel_1.10_SK[[#This Row],[a. 
Den absolut mindste enhedspris, der forekommer mulig
(Optimistisk)]]
+3*Tabel_1.10_SK[[#This Row],[b. 
Den mest sandsynlige enhedspris]]
+Tabel_1.10_SK[[#This Row],[c. 
Den absolut størst tænkelige enhedspris
(pessimistisk)]])/5</f>
        <v>0</v>
      </c>
      <c r="J97" s="1">
        <f>Tabel_1.10_SK[[#This Row],[Mængde]]*(Tabel_1.10_SK[[#This Row],[c. 
Den absolut størst tænkelige enhedspris
(pessimistisk)]]
-Tabel_1.10_SK[[#This Row],[a. 
Den absolut mindste enhedspris, der forekommer mulig
(Optimistisk)]])/5</f>
        <v>0</v>
      </c>
      <c r="K97" s="12">
        <f>Tabel_1.10_SK[[#This Row],[s.
spredningen
(standardafvigelsen)]]^2*0.000001</f>
        <v>0</v>
      </c>
    </row>
    <row r="98" spans="2:11" x14ac:dyDescent="0.25">
      <c r="B98" s="19" t="s">
        <v>441</v>
      </c>
      <c r="C98" s="92" t="s">
        <v>409</v>
      </c>
      <c r="D98" s="21"/>
      <c r="E98" s="28"/>
      <c r="F98" s="22"/>
      <c r="G98" s="23"/>
      <c r="H98" s="24"/>
      <c r="I98" s="11">
        <f>Tabel_1.10_SK[[#This Row],[Mængde]]*(Tabel_1.10_SK[[#This Row],[a. 
Den absolut mindste enhedspris, der forekommer mulig
(Optimistisk)]]
+3*Tabel_1.10_SK[[#This Row],[b. 
Den mest sandsynlige enhedspris]]
+Tabel_1.10_SK[[#This Row],[c. 
Den absolut størst tænkelige enhedspris
(pessimistisk)]])/5</f>
        <v>0</v>
      </c>
      <c r="J98" s="1">
        <f>Tabel_1.10_SK[[#This Row],[Mængde]]*(Tabel_1.10_SK[[#This Row],[c. 
Den absolut størst tænkelige enhedspris
(pessimistisk)]]
-Tabel_1.10_SK[[#This Row],[a. 
Den absolut mindste enhedspris, der forekommer mulig
(Optimistisk)]])/5</f>
        <v>0</v>
      </c>
      <c r="K98" s="12">
        <f>Tabel_1.10_SK[[#This Row],[s.
spredningen
(standardafvigelsen)]]^2*0.000001</f>
        <v>0</v>
      </c>
    </row>
    <row r="99" spans="2:11" x14ac:dyDescent="0.25">
      <c r="B99" s="19" t="s">
        <v>442</v>
      </c>
      <c r="C99" s="92" t="s">
        <v>410</v>
      </c>
      <c r="D99" s="21"/>
      <c r="E99" s="28"/>
      <c r="F99" s="22"/>
      <c r="G99" s="23"/>
      <c r="H99" s="24"/>
      <c r="I99" s="11">
        <f>Tabel_1.10_SK[[#This Row],[Mængde]]*(Tabel_1.10_SK[[#This Row],[a. 
Den absolut mindste enhedspris, der forekommer mulig
(Optimistisk)]]
+3*Tabel_1.10_SK[[#This Row],[b. 
Den mest sandsynlige enhedspris]]
+Tabel_1.10_SK[[#This Row],[c. 
Den absolut størst tænkelige enhedspris
(pessimistisk)]])/5</f>
        <v>0</v>
      </c>
      <c r="J99" s="1">
        <f>Tabel_1.10_SK[[#This Row],[Mængde]]*(Tabel_1.10_SK[[#This Row],[c. 
Den absolut størst tænkelige enhedspris
(pessimistisk)]]
-Tabel_1.10_SK[[#This Row],[a. 
Den absolut mindste enhedspris, der forekommer mulig
(Optimistisk)]])/5</f>
        <v>0</v>
      </c>
      <c r="K99" s="12">
        <f>Tabel_1.10_SK[[#This Row],[s.
spredningen
(standardafvigelsen)]]^2*0.000001</f>
        <v>0</v>
      </c>
    </row>
    <row r="100" spans="2:11" x14ac:dyDescent="0.25">
      <c r="B100" s="19" t="s">
        <v>443</v>
      </c>
      <c r="C100" s="92" t="s">
        <v>159</v>
      </c>
      <c r="D100" s="21"/>
      <c r="E100" s="28"/>
      <c r="F100" s="22"/>
      <c r="G100" s="23"/>
      <c r="H100" s="24"/>
      <c r="I100" s="11">
        <f>Tabel_1.10_SK[[#This Row],[Mængde]]*(Tabel_1.10_SK[[#This Row],[a. 
Den absolut mindste enhedspris, der forekommer mulig
(Optimistisk)]]
+3*Tabel_1.10_SK[[#This Row],[b. 
Den mest sandsynlige enhedspris]]
+Tabel_1.10_SK[[#This Row],[c. 
Den absolut størst tænkelige enhedspris
(pessimistisk)]])/5</f>
        <v>0</v>
      </c>
      <c r="J100" s="1">
        <f>Tabel_1.10_SK[[#This Row],[Mængde]]*(Tabel_1.10_SK[[#This Row],[c. 
Den absolut størst tænkelige enhedspris
(pessimistisk)]]
-Tabel_1.10_SK[[#This Row],[a. 
Den absolut mindste enhedspris, der forekommer mulig
(Optimistisk)]])/5</f>
        <v>0</v>
      </c>
      <c r="K100" s="12">
        <f>Tabel_1.10_SK[[#This Row],[s.
spredningen
(standardafvigelsen)]]^2*0.000001</f>
        <v>0</v>
      </c>
    </row>
    <row r="101" spans="2:11" x14ac:dyDescent="0.25">
      <c r="B101" s="19"/>
      <c r="C101" s="20"/>
      <c r="D101" s="21"/>
      <c r="E101" s="28"/>
      <c r="F101" s="22"/>
      <c r="G101" s="23"/>
      <c r="H101" s="24"/>
      <c r="I101" s="11">
        <f>Tabel_1.10_SK[[#This Row],[Mængde]]*(Tabel_1.10_SK[[#This Row],[a. 
Den absolut mindste enhedspris, der forekommer mulig
(Optimistisk)]]
+3*Tabel_1.10_SK[[#This Row],[b. 
Den mest sandsynlige enhedspris]]
+Tabel_1.10_SK[[#This Row],[c. 
Den absolut størst tænkelige enhedspris
(pessimistisk)]])/5</f>
        <v>0</v>
      </c>
      <c r="J101" s="1">
        <f>Tabel_1.10_SK[[#This Row],[Mængde]]*(Tabel_1.10_SK[[#This Row],[c. 
Den absolut størst tænkelige enhedspris
(pessimistisk)]]
-Tabel_1.10_SK[[#This Row],[a. 
Den absolut mindste enhedspris, der forekommer mulig
(Optimistisk)]])/5</f>
        <v>0</v>
      </c>
      <c r="K101" s="12">
        <f>Tabel_1.10_SK[[#This Row],[s.
spredningen
(standardafvigelsen)]]^2*0.000001</f>
        <v>0</v>
      </c>
    </row>
    <row r="102" spans="2:11" x14ac:dyDescent="0.25">
      <c r="B102" s="19"/>
      <c r="C102" s="20"/>
      <c r="D102" s="21"/>
      <c r="E102" s="28"/>
      <c r="F102" s="22"/>
      <c r="G102" s="23"/>
      <c r="H102" s="24"/>
      <c r="I102" s="11">
        <f>Tabel_1.10_SK[[#This Row],[Mængde]]*(Tabel_1.10_SK[[#This Row],[a. 
Den absolut mindste enhedspris, der forekommer mulig
(Optimistisk)]]
+3*Tabel_1.10_SK[[#This Row],[b. 
Den mest sandsynlige enhedspris]]
+Tabel_1.10_SK[[#This Row],[c. 
Den absolut størst tænkelige enhedspris
(pessimistisk)]])/5</f>
        <v>0</v>
      </c>
      <c r="J102" s="1">
        <f>Tabel_1.10_SK[[#This Row],[Mængde]]*(Tabel_1.10_SK[[#This Row],[c. 
Den absolut størst tænkelige enhedspris
(pessimistisk)]]
-Tabel_1.10_SK[[#This Row],[a. 
Den absolut mindste enhedspris, der forekommer mulig
(Optimistisk)]])/5</f>
        <v>0</v>
      </c>
      <c r="K102" s="12">
        <f>Tabel_1.10_SK[[#This Row],[s.
spredningen
(standardafvigelsen)]]^2*0.000001</f>
        <v>0</v>
      </c>
    </row>
    <row r="103" spans="2:11" x14ac:dyDescent="0.25">
      <c r="B103" s="19"/>
      <c r="C103" s="20"/>
      <c r="D103" s="21"/>
      <c r="E103" s="28"/>
      <c r="F103" s="22"/>
      <c r="G103" s="23"/>
      <c r="H103" s="24"/>
      <c r="I103" s="11">
        <f>Tabel_1.10_SK[[#This Row],[Mængde]]*(Tabel_1.10_SK[[#This Row],[a. 
Den absolut mindste enhedspris, der forekommer mulig
(Optimistisk)]]
+3*Tabel_1.10_SK[[#This Row],[b. 
Den mest sandsynlige enhedspris]]
+Tabel_1.10_SK[[#This Row],[c. 
Den absolut størst tænkelige enhedspris
(pessimistisk)]])/5</f>
        <v>0</v>
      </c>
      <c r="J103" s="1">
        <f>Tabel_1.10_SK[[#This Row],[Mængde]]*(Tabel_1.10_SK[[#This Row],[c. 
Den absolut størst tænkelige enhedspris
(pessimistisk)]]
-Tabel_1.10_SK[[#This Row],[a. 
Den absolut mindste enhedspris, der forekommer mulig
(Optimistisk)]])/5</f>
        <v>0</v>
      </c>
      <c r="K103" s="12">
        <f>Tabel_1.10_SK[[#This Row],[s.
spredningen
(standardafvigelsen)]]^2*0.000001</f>
        <v>0</v>
      </c>
    </row>
    <row r="104" spans="2:11" x14ac:dyDescent="0.25">
      <c r="B104" s="19"/>
      <c r="C104" s="20"/>
      <c r="D104" s="21"/>
      <c r="E104" s="28"/>
      <c r="F104" s="22"/>
      <c r="G104" s="23"/>
      <c r="H104" s="24"/>
      <c r="I104" s="11">
        <f>Tabel_1.10_SK[[#This Row],[Mængde]]*(Tabel_1.10_SK[[#This Row],[a. 
Den absolut mindste enhedspris, der forekommer mulig
(Optimistisk)]]
+3*Tabel_1.10_SK[[#This Row],[b. 
Den mest sandsynlige enhedspris]]
+Tabel_1.10_SK[[#This Row],[c. 
Den absolut størst tænkelige enhedspris
(pessimistisk)]])/5</f>
        <v>0</v>
      </c>
      <c r="J104" s="1">
        <f>Tabel_1.10_SK[[#This Row],[Mængde]]*(Tabel_1.10_SK[[#This Row],[c. 
Den absolut størst tænkelige enhedspris
(pessimistisk)]]
-Tabel_1.10_SK[[#This Row],[a. 
Den absolut mindste enhedspris, der forekommer mulig
(Optimistisk)]])/5</f>
        <v>0</v>
      </c>
      <c r="K104" s="12">
        <f>Tabel_1.10_SK[[#This Row],[s.
spredningen
(standardafvigelsen)]]^2*0.000001</f>
        <v>0</v>
      </c>
    </row>
    <row r="105" spans="2:11" x14ac:dyDescent="0.25">
      <c r="B105" s="19"/>
      <c r="C105" s="20"/>
      <c r="D105" s="21"/>
      <c r="E105" s="28"/>
      <c r="F105" s="22"/>
      <c r="G105" s="23"/>
      <c r="H105" s="24"/>
      <c r="I105" s="11">
        <f>Tabel_1.10_SK[[#This Row],[Mængde]]*(Tabel_1.10_SK[[#This Row],[a. 
Den absolut mindste enhedspris, der forekommer mulig
(Optimistisk)]]
+3*Tabel_1.10_SK[[#This Row],[b. 
Den mest sandsynlige enhedspris]]
+Tabel_1.10_SK[[#This Row],[c. 
Den absolut størst tænkelige enhedspris
(pessimistisk)]])/5</f>
        <v>0</v>
      </c>
      <c r="J105" s="1">
        <f>Tabel_1.10_SK[[#This Row],[Mængde]]*(Tabel_1.10_SK[[#This Row],[c. 
Den absolut størst tænkelige enhedspris
(pessimistisk)]]
-Tabel_1.10_SK[[#This Row],[a. 
Den absolut mindste enhedspris, der forekommer mulig
(Optimistisk)]])/5</f>
        <v>0</v>
      </c>
      <c r="K105" s="12">
        <f>Tabel_1.10_SK[[#This Row],[s.
spredningen
(standardafvigelsen)]]^2*0.000001</f>
        <v>0</v>
      </c>
    </row>
    <row r="106" spans="2:11" x14ac:dyDescent="0.25">
      <c r="B106" s="19"/>
      <c r="C106" s="20"/>
      <c r="D106" s="21"/>
      <c r="E106" s="28"/>
      <c r="F106" s="22"/>
      <c r="G106" s="23"/>
      <c r="H106" s="24"/>
      <c r="I106" s="11">
        <f>Tabel_1.10_SK[[#This Row],[Mængde]]*(Tabel_1.10_SK[[#This Row],[a. 
Den absolut mindste enhedspris, der forekommer mulig
(Optimistisk)]]
+3*Tabel_1.10_SK[[#This Row],[b. 
Den mest sandsynlige enhedspris]]
+Tabel_1.10_SK[[#This Row],[c. 
Den absolut størst tænkelige enhedspris
(pessimistisk)]])/5</f>
        <v>0</v>
      </c>
      <c r="J106" s="1">
        <f>Tabel_1.10_SK[[#This Row],[Mængde]]*(Tabel_1.10_SK[[#This Row],[c. 
Den absolut størst tænkelige enhedspris
(pessimistisk)]]
-Tabel_1.10_SK[[#This Row],[a. 
Den absolut mindste enhedspris, der forekommer mulig
(Optimistisk)]])/5</f>
        <v>0</v>
      </c>
      <c r="K106" s="12">
        <f>Tabel_1.10_SK[[#This Row],[s.
spredningen
(standardafvigelsen)]]^2*0.000001</f>
        <v>0</v>
      </c>
    </row>
    <row r="107" spans="2:11" x14ac:dyDescent="0.25">
      <c r="B107" s="7" t="s">
        <v>88</v>
      </c>
      <c r="C107" s="8" t="s">
        <v>445</v>
      </c>
      <c r="D107" s="7"/>
      <c r="E107" s="29"/>
      <c r="F107" s="7"/>
      <c r="G107" s="13"/>
      <c r="H107" s="8"/>
      <c r="I107" s="17">
        <f>SUBTOTAL(109,Tabel_1.10_SK[m.
Den forventede værdi (middelværdi)])</f>
        <v>0</v>
      </c>
      <c r="J107" s="13"/>
      <c r="K107" s="18">
        <f>SUBTOTAL(109,Tabel_1.10_SK[v.
varians (s2x10-7)])</f>
        <v>0</v>
      </c>
    </row>
    <row r="109" spans="2:11" ht="18.75" x14ac:dyDescent="0.3">
      <c r="C109" s="35" t="str">
        <f>HYPERLINK("#Samleark!RangeBudgetStart","Til Samleark")</f>
        <v>Til Samleark</v>
      </c>
      <c r="F109" s="35" t="str">
        <f>HYPERLINK("#Vejledning!RangeVejledningStart","Til Vejledning")</f>
        <v>Til Vejledning</v>
      </c>
    </row>
  </sheetData>
  <mergeCells count="15">
    <mergeCell ref="F88:H88"/>
    <mergeCell ref="I88:K88"/>
    <mergeCell ref="E76:H76"/>
    <mergeCell ref="B87:H87"/>
    <mergeCell ref="I87:K87"/>
    <mergeCell ref="F52:H52"/>
    <mergeCell ref="I52:K52"/>
    <mergeCell ref="E41:H41"/>
    <mergeCell ref="B51:H51"/>
    <mergeCell ref="I51:K51"/>
    <mergeCell ref="F19:H19"/>
    <mergeCell ref="I19:K19"/>
    <mergeCell ref="E8:H8"/>
    <mergeCell ref="B18:H18"/>
    <mergeCell ref="I18:K18"/>
  </mergeCells>
  <phoneticPr fontId="20" type="noConversion"/>
  <dataValidations count="1">
    <dataValidation type="decimal" operator="greaterThanOrEqual" allowBlank="1" showInputMessage="1" showErrorMessage="1" errorTitle="Indtast et positivt tal" error="Indtast et tal større end eller lig med 0." sqref="D10:D11 D21:D29 F21:H29 D43:D44 D54:D64 F54:H64 D78:D80 D90:D106 F90:H106" xr:uid="{7B4F8942-3436-43E0-AC3B-12F1052B6F29}">
      <formula1>0</formula1>
    </dataValidation>
  </dataValidations>
  <pageMargins left="0.70866141732283472" right="0.70866141732283472" top="0.74803149606299213" bottom="0.74803149606299213" header="0.31496062992125984" footer="0.31496062992125984"/>
  <pageSetup paperSize="9" scale="36" orientation="portrait" cellComments="asDisplayed" r:id="rId1"/>
  <headerFooter>
    <oddHeader>&amp;L&amp;G</oddHeader>
    <oddFooter>&amp;RAU Bygninger
Udarbejdet af: MOSA</oddFooter>
  </headerFooter>
  <legacyDrawingHF r:id="rId2"/>
  <tableParts count="6">
    <tablePart r:id="rId3"/>
    <tablePart r:id="rId4"/>
    <tablePart r:id="rId5"/>
    <tablePart r:id="rId6"/>
    <tablePart r:id="rId7"/>
    <tablePart r:id="rId8"/>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19E47-CBDB-4198-9D9A-FB49DE7C0BE8}">
  <sheetPr>
    <tabColor rgb="FF92D050"/>
    <pageSetUpPr fitToPage="1"/>
  </sheetPr>
  <dimension ref="A2:L18"/>
  <sheetViews>
    <sheetView showGridLines="0" view="pageBreakPreview" zoomScaleNormal="100" zoomScaleSheetLayoutView="100" workbookViewId="0">
      <selection activeCell="E30" sqref="E30"/>
    </sheetView>
  </sheetViews>
  <sheetFormatPr defaultColWidth="0" defaultRowHeight="15" x14ac:dyDescent="0.25"/>
  <cols>
    <col min="1" max="1" width="2.7109375" customWidth="1"/>
    <col min="2" max="2" width="7.5703125" bestFit="1" customWidth="1"/>
    <col min="3" max="3" width="51" bestFit="1" customWidth="1"/>
    <col min="4" max="4" width="10.85546875" customWidth="1"/>
    <col min="5" max="5" width="9.140625" customWidth="1"/>
    <col min="6" max="8" width="26.7109375" customWidth="1"/>
    <col min="9" max="11" width="20.7109375" customWidth="1"/>
    <col min="12" max="12" width="2.7109375" customWidth="1"/>
    <col min="13" max="16384" width="9.140625" hidden="1"/>
  </cols>
  <sheetData>
    <row r="2" spans="2:11" ht="20.25" thickBot="1" x14ac:dyDescent="0.35">
      <c r="B2" s="31" t="s">
        <v>89</v>
      </c>
      <c r="C2" s="31" t="s">
        <v>238</v>
      </c>
      <c r="D2" s="31"/>
      <c r="E2" s="31"/>
      <c r="F2" s="31"/>
      <c r="G2" s="31"/>
      <c r="H2" s="31"/>
      <c r="I2" s="31"/>
      <c r="J2" s="31"/>
      <c r="K2" s="31"/>
    </row>
    <row r="3" spans="2:11" ht="15.75" thickTop="1" x14ac:dyDescent="0.25"/>
    <row r="4" spans="2:11" x14ac:dyDescent="0.25">
      <c r="B4" s="114" t="s">
        <v>6</v>
      </c>
      <c r="C4" s="115"/>
      <c r="D4" s="115"/>
      <c r="E4" s="115"/>
      <c r="F4" s="115"/>
      <c r="G4" s="115"/>
      <c r="H4" s="115"/>
      <c r="I4" s="116" t="s">
        <v>7</v>
      </c>
      <c r="J4" s="117"/>
      <c r="K4" s="118"/>
    </row>
    <row r="5" spans="2:11" x14ac:dyDescent="0.25">
      <c r="B5" s="3"/>
      <c r="C5" s="4"/>
      <c r="D5" s="3"/>
      <c r="E5" s="4"/>
      <c r="F5" s="109" t="s">
        <v>30</v>
      </c>
      <c r="G5" s="110"/>
      <c r="H5" s="111"/>
      <c r="I5" s="112" t="s">
        <v>31</v>
      </c>
      <c r="J5" s="112"/>
      <c r="K5" s="113"/>
    </row>
    <row r="6" spans="2:11" ht="75" x14ac:dyDescent="0.25">
      <c r="B6" s="5" t="s">
        <v>268</v>
      </c>
      <c r="C6" s="6" t="s">
        <v>0</v>
      </c>
      <c r="D6" s="5" t="s">
        <v>1</v>
      </c>
      <c r="E6" s="6" t="s">
        <v>2</v>
      </c>
      <c r="F6" s="9" t="s">
        <v>27</v>
      </c>
      <c r="G6" s="2" t="s">
        <v>28</v>
      </c>
      <c r="H6" s="10" t="s">
        <v>29</v>
      </c>
      <c r="I6" s="14" t="s">
        <v>3</v>
      </c>
      <c r="J6" s="15" t="s">
        <v>4</v>
      </c>
      <c r="K6" s="16" t="s">
        <v>5</v>
      </c>
    </row>
    <row r="7" spans="2:11" x14ac:dyDescent="0.25">
      <c r="B7" s="19" t="s">
        <v>179</v>
      </c>
      <c r="C7" s="20" t="s">
        <v>175</v>
      </c>
      <c r="D7" s="21"/>
      <c r="E7" s="20"/>
      <c r="F7" s="22"/>
      <c r="G7" s="23"/>
      <c r="H7" s="24"/>
      <c r="I7" s="11">
        <f>Tabel_2.3_SK[[#This Row],[Mængde]]*(Tabel_2.3_SK[[#This Row],[a. 
Den absolut mindste enhedspris, der forekommer mulig
(Optimistisk)]]
+3*Tabel_2.3_SK[[#This Row],[b. 
Den mest sandsynlige enhedspris]]
+Tabel_2.3_SK[[#This Row],[c. 
Den absolut størst tænkelige enhedspris
(pessimistisk)]])/5</f>
        <v>0</v>
      </c>
      <c r="J7" s="1">
        <f>Tabel_2.3_SK[[#This Row],[Mængde]]*(Tabel_2.3_SK[[#This Row],[c. 
Den absolut størst tænkelige enhedspris
(pessimistisk)]]
-Tabel_2.3_SK[[#This Row],[a. 
Den absolut mindste enhedspris, der forekommer mulig
(Optimistisk)]])/5</f>
        <v>0</v>
      </c>
      <c r="K7" s="12">
        <f>Tabel_2.3_SK[[#This Row],[s.
spredningen
(standardafvigelsen)]]^2*0.000001</f>
        <v>0</v>
      </c>
    </row>
    <row r="8" spans="2:11" x14ac:dyDescent="0.25">
      <c r="B8" s="19" t="s">
        <v>180</v>
      </c>
      <c r="C8" s="20" t="s">
        <v>176</v>
      </c>
      <c r="D8" s="21"/>
      <c r="E8" s="20"/>
      <c r="F8" s="22"/>
      <c r="G8" s="23"/>
      <c r="H8" s="24"/>
      <c r="I8" s="11">
        <f>Tabel_2.3_SK[[#This Row],[Mængde]]*(Tabel_2.3_SK[[#This Row],[a. 
Den absolut mindste enhedspris, der forekommer mulig
(Optimistisk)]]
+3*Tabel_2.3_SK[[#This Row],[b. 
Den mest sandsynlige enhedspris]]
+Tabel_2.3_SK[[#This Row],[c. 
Den absolut størst tænkelige enhedspris
(pessimistisk)]])/5</f>
        <v>0</v>
      </c>
      <c r="J8" s="1">
        <f>Tabel_2.3_SK[[#This Row],[Mængde]]*(Tabel_2.3_SK[[#This Row],[c. 
Den absolut størst tænkelige enhedspris
(pessimistisk)]]
-Tabel_2.3_SK[[#This Row],[a. 
Den absolut mindste enhedspris, der forekommer mulig
(Optimistisk)]])/5</f>
        <v>0</v>
      </c>
      <c r="K8" s="12">
        <f>Tabel_2.3_SK[[#This Row],[s.
spredningen
(standardafvigelsen)]]^2*0.000001</f>
        <v>0</v>
      </c>
    </row>
    <row r="9" spans="2:11" x14ac:dyDescent="0.25">
      <c r="B9" s="19" t="s">
        <v>181</v>
      </c>
      <c r="C9" s="20" t="s">
        <v>177</v>
      </c>
      <c r="D9" s="21"/>
      <c r="E9" s="20"/>
      <c r="F9" s="22"/>
      <c r="G9" s="23"/>
      <c r="H9" s="24"/>
      <c r="I9" s="11">
        <f>Tabel_2.3_SK[[#This Row],[Mængde]]*(Tabel_2.3_SK[[#This Row],[a. 
Den absolut mindste enhedspris, der forekommer mulig
(Optimistisk)]]
+3*Tabel_2.3_SK[[#This Row],[b. 
Den mest sandsynlige enhedspris]]
+Tabel_2.3_SK[[#This Row],[c. 
Den absolut størst tænkelige enhedspris
(pessimistisk)]])/5</f>
        <v>0</v>
      </c>
      <c r="J9" s="1">
        <f>Tabel_2.3_SK[[#This Row],[Mængde]]*(Tabel_2.3_SK[[#This Row],[c. 
Den absolut størst tænkelige enhedspris
(pessimistisk)]]
-Tabel_2.3_SK[[#This Row],[a. 
Den absolut mindste enhedspris, der forekommer mulig
(Optimistisk)]])/5</f>
        <v>0</v>
      </c>
      <c r="K9" s="12">
        <f>Tabel_2.3_SK[[#This Row],[s.
spredningen
(standardafvigelsen)]]^2*0.000001</f>
        <v>0</v>
      </c>
    </row>
    <row r="10" spans="2:11" x14ac:dyDescent="0.25">
      <c r="B10" s="19" t="s">
        <v>182</v>
      </c>
      <c r="C10" s="20" t="s">
        <v>178</v>
      </c>
      <c r="D10" s="21"/>
      <c r="E10" s="20"/>
      <c r="F10" s="22"/>
      <c r="G10" s="23"/>
      <c r="H10" s="24"/>
      <c r="I10" s="11">
        <f>Tabel_2.3_SK[[#This Row],[Mængde]]*(Tabel_2.3_SK[[#This Row],[a. 
Den absolut mindste enhedspris, der forekommer mulig
(Optimistisk)]]
+3*Tabel_2.3_SK[[#This Row],[b. 
Den mest sandsynlige enhedspris]]
+Tabel_2.3_SK[[#This Row],[c. 
Den absolut størst tænkelige enhedspris
(pessimistisk)]])/5</f>
        <v>0</v>
      </c>
      <c r="J10" s="1">
        <f>Tabel_2.3_SK[[#This Row],[Mængde]]*(Tabel_2.3_SK[[#This Row],[c. 
Den absolut størst tænkelige enhedspris
(pessimistisk)]]
-Tabel_2.3_SK[[#This Row],[a. 
Den absolut mindste enhedspris, der forekommer mulig
(Optimistisk)]])/5</f>
        <v>0</v>
      </c>
      <c r="K10" s="12">
        <f>Tabel_2.3_SK[[#This Row],[s.
spredningen
(standardafvigelsen)]]^2*0.000001</f>
        <v>0</v>
      </c>
    </row>
    <row r="11" spans="2:11" x14ac:dyDescent="0.25">
      <c r="B11" s="19" t="s">
        <v>183</v>
      </c>
      <c r="C11" s="20"/>
      <c r="D11" s="21"/>
      <c r="E11" s="20"/>
      <c r="F11" s="22"/>
      <c r="G11" s="23"/>
      <c r="H11" s="24"/>
      <c r="I11" s="11">
        <f>Tabel_2.3_SK[[#This Row],[Mængde]]*(Tabel_2.3_SK[[#This Row],[a. 
Den absolut mindste enhedspris, der forekommer mulig
(Optimistisk)]]
+3*Tabel_2.3_SK[[#This Row],[b. 
Den mest sandsynlige enhedspris]]
+Tabel_2.3_SK[[#This Row],[c. 
Den absolut størst tænkelige enhedspris
(pessimistisk)]])/5</f>
        <v>0</v>
      </c>
      <c r="J11" s="1">
        <f>Tabel_2.3_SK[[#This Row],[Mængde]]*(Tabel_2.3_SK[[#This Row],[c. 
Den absolut størst tænkelige enhedspris
(pessimistisk)]]
-Tabel_2.3_SK[[#This Row],[a. 
Den absolut mindste enhedspris, der forekommer mulig
(Optimistisk)]])/5</f>
        <v>0</v>
      </c>
      <c r="K11" s="12">
        <f>Tabel_2.3_SK[[#This Row],[s.
spredningen
(standardafvigelsen)]]^2*0.000001</f>
        <v>0</v>
      </c>
    </row>
    <row r="12" spans="2:11" x14ac:dyDescent="0.25">
      <c r="B12" s="19" t="s">
        <v>184</v>
      </c>
      <c r="C12" s="20"/>
      <c r="D12" s="21"/>
      <c r="E12" s="20"/>
      <c r="F12" s="22"/>
      <c r="G12" s="23"/>
      <c r="H12" s="24"/>
      <c r="I12" s="11">
        <f>Tabel_2.3_SK[[#This Row],[Mængde]]*(Tabel_2.3_SK[[#This Row],[a. 
Den absolut mindste enhedspris, der forekommer mulig
(Optimistisk)]]
+3*Tabel_2.3_SK[[#This Row],[b. 
Den mest sandsynlige enhedspris]]
+Tabel_2.3_SK[[#This Row],[c. 
Den absolut størst tænkelige enhedspris
(pessimistisk)]])/5</f>
        <v>0</v>
      </c>
      <c r="J12" s="1">
        <f>Tabel_2.3_SK[[#This Row],[Mængde]]*(Tabel_2.3_SK[[#This Row],[c. 
Den absolut størst tænkelige enhedspris
(pessimistisk)]]
-Tabel_2.3_SK[[#This Row],[a. 
Den absolut mindste enhedspris, der forekommer mulig
(Optimistisk)]])/5</f>
        <v>0</v>
      </c>
      <c r="K12" s="12">
        <f>Tabel_2.3_SK[[#This Row],[s.
spredningen
(standardafvigelsen)]]^2*0.000001</f>
        <v>0</v>
      </c>
    </row>
    <row r="13" spans="2:11" x14ac:dyDescent="0.25">
      <c r="B13" s="19"/>
      <c r="C13" s="20"/>
      <c r="D13" s="21"/>
      <c r="E13" s="20"/>
      <c r="F13" s="22"/>
      <c r="G13" s="23"/>
      <c r="H13" s="24"/>
      <c r="I13" s="11">
        <f>Tabel_2.3_SK[[#This Row],[Mængde]]*(Tabel_2.3_SK[[#This Row],[a. 
Den absolut mindste enhedspris, der forekommer mulig
(Optimistisk)]]
+3*Tabel_2.3_SK[[#This Row],[b. 
Den mest sandsynlige enhedspris]]
+Tabel_2.3_SK[[#This Row],[c. 
Den absolut størst tænkelige enhedspris
(pessimistisk)]])/5</f>
        <v>0</v>
      </c>
      <c r="J13" s="1">
        <f>Tabel_2.3_SK[[#This Row],[Mængde]]*(Tabel_2.3_SK[[#This Row],[c. 
Den absolut størst tænkelige enhedspris
(pessimistisk)]]
-Tabel_2.3_SK[[#This Row],[a. 
Den absolut mindste enhedspris, der forekommer mulig
(Optimistisk)]])/5</f>
        <v>0</v>
      </c>
      <c r="K13" s="12">
        <f>Tabel_2.3_SK[[#This Row],[s.
spredningen
(standardafvigelsen)]]^2*0.000001</f>
        <v>0</v>
      </c>
    </row>
    <row r="14" spans="2:11" x14ac:dyDescent="0.25">
      <c r="B14" s="19"/>
      <c r="C14" s="20"/>
      <c r="D14" s="21"/>
      <c r="E14" s="20"/>
      <c r="F14" s="22"/>
      <c r="G14" s="23"/>
      <c r="H14" s="24"/>
      <c r="I14" s="11">
        <f>Tabel_2.3_SK[[#This Row],[Mængde]]*(Tabel_2.3_SK[[#This Row],[a. 
Den absolut mindste enhedspris, der forekommer mulig
(Optimistisk)]]
+3*Tabel_2.3_SK[[#This Row],[b. 
Den mest sandsynlige enhedspris]]
+Tabel_2.3_SK[[#This Row],[c. 
Den absolut størst tænkelige enhedspris
(pessimistisk)]])/5</f>
        <v>0</v>
      </c>
      <c r="J14" s="1">
        <f>Tabel_2.3_SK[[#This Row],[Mængde]]*(Tabel_2.3_SK[[#This Row],[c. 
Den absolut størst tænkelige enhedspris
(pessimistisk)]]
-Tabel_2.3_SK[[#This Row],[a. 
Den absolut mindste enhedspris, der forekommer mulig
(Optimistisk)]])/5</f>
        <v>0</v>
      </c>
      <c r="K14" s="12">
        <f>Tabel_2.3_SK[[#This Row],[s.
spredningen
(standardafvigelsen)]]^2*0.000001</f>
        <v>0</v>
      </c>
    </row>
    <row r="15" spans="2:11" x14ac:dyDescent="0.25">
      <c r="B15" s="19"/>
      <c r="C15" s="20"/>
      <c r="D15" s="21"/>
      <c r="E15" s="20"/>
      <c r="F15" s="22"/>
      <c r="G15" s="23"/>
      <c r="H15" s="24"/>
      <c r="I15" s="11">
        <f>Tabel_2.3_SK[[#This Row],[Mængde]]*(Tabel_2.3_SK[[#This Row],[a. 
Den absolut mindste enhedspris, der forekommer mulig
(Optimistisk)]]
+3*Tabel_2.3_SK[[#This Row],[b. 
Den mest sandsynlige enhedspris]]
+Tabel_2.3_SK[[#This Row],[c. 
Den absolut størst tænkelige enhedspris
(pessimistisk)]])/5</f>
        <v>0</v>
      </c>
      <c r="J15" s="1">
        <f>Tabel_2.3_SK[[#This Row],[Mængde]]*(Tabel_2.3_SK[[#This Row],[c. 
Den absolut størst tænkelige enhedspris
(pessimistisk)]]
-Tabel_2.3_SK[[#This Row],[a. 
Den absolut mindste enhedspris, der forekommer mulig
(Optimistisk)]])/5</f>
        <v>0</v>
      </c>
      <c r="K15" s="12">
        <f>Tabel_2.3_SK[[#This Row],[s.
spredningen
(standardafvigelsen)]]^2*0.000001</f>
        <v>0</v>
      </c>
    </row>
    <row r="16" spans="2:11" x14ac:dyDescent="0.25">
      <c r="B16" s="7" t="s">
        <v>89</v>
      </c>
      <c r="C16" s="8" t="s">
        <v>174</v>
      </c>
      <c r="D16" s="7"/>
      <c r="E16" s="8"/>
      <c r="F16" s="7"/>
      <c r="G16" s="13"/>
      <c r="H16" s="8"/>
      <c r="I16" s="17">
        <f>SUBTOTAL(109,Tabel_2.3_SK[m.
Den forventede værdi (middelværdi)])</f>
        <v>0</v>
      </c>
      <c r="J16" s="13"/>
      <c r="K16" s="18">
        <f>SUBTOTAL(109,Tabel_2.3_SK[v.
varians (s2x10-7)])</f>
        <v>0</v>
      </c>
    </row>
    <row r="18" spans="3:6" ht="18.75" x14ac:dyDescent="0.3">
      <c r="C18" s="35" t="str">
        <f>HYPERLINK("#Samleark!RangeBudgetStart","Til Samleark")</f>
        <v>Til Samleark</v>
      </c>
      <c r="F18" s="35" t="str">
        <f>HYPERLINK("#Vejledning!RangeVejledningStart","Til Vejledning")</f>
        <v>Til Vejledning</v>
      </c>
    </row>
  </sheetData>
  <mergeCells count="4">
    <mergeCell ref="B4:H4"/>
    <mergeCell ref="I4:K4"/>
    <mergeCell ref="F5:H5"/>
    <mergeCell ref="I5:K5"/>
  </mergeCells>
  <dataValidations count="1">
    <dataValidation type="decimal" operator="greaterThanOrEqual" allowBlank="1" showInputMessage="1" showErrorMessage="1" errorTitle="Indtast et positivt tal" error="Indtast et tal større end eller lig med 0." sqref="D7:D15 F7:H15" xr:uid="{C3F6D468-7724-4254-9E06-6E48029687CA}">
      <formula1>0</formula1>
    </dataValidation>
  </dataValidations>
  <pageMargins left="0.70866141732283472" right="0.70866141732283472" top="0.74803149606299213" bottom="0.74803149606299213" header="0.31496062992125984" footer="0.31496062992125984"/>
  <pageSetup paperSize="9" scale="38" orientation="portrait" cellComments="asDisplayed" r:id="rId1"/>
  <headerFooter>
    <oddHeader>&amp;L&amp;G</oddHeader>
    <oddFooter>&amp;RAU Bygninger
Udarbejdet af: MOSA</oddFooter>
  </headerFooter>
  <legacyDrawingHF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AFC07-849D-4884-84AA-CBA137AB3E8E}">
  <sheetPr>
    <tabColor rgb="FF92D050"/>
    <pageSetUpPr fitToPage="1"/>
  </sheetPr>
  <dimension ref="A2:L41"/>
  <sheetViews>
    <sheetView showGridLines="0" zoomScaleNormal="100" workbookViewId="0">
      <selection activeCell="B40" sqref="B40"/>
    </sheetView>
  </sheetViews>
  <sheetFormatPr defaultColWidth="0" defaultRowHeight="15" x14ac:dyDescent="0.25"/>
  <cols>
    <col min="1" max="1" width="2.7109375" customWidth="1"/>
    <col min="2" max="2" width="7.5703125" bestFit="1" customWidth="1"/>
    <col min="3" max="3" width="56.140625" bestFit="1" customWidth="1"/>
    <col min="4" max="4" width="10.85546875" customWidth="1"/>
    <col min="5" max="5" width="9.140625" customWidth="1"/>
    <col min="6" max="8" width="26.7109375" customWidth="1"/>
    <col min="9" max="11" width="20.7109375" customWidth="1"/>
    <col min="12" max="12" width="2.7109375" customWidth="1"/>
    <col min="13" max="16384" width="9.140625" hidden="1"/>
  </cols>
  <sheetData>
    <row r="2" spans="2:11" ht="20.25" thickBot="1" x14ac:dyDescent="0.35">
      <c r="B2" s="31" t="s">
        <v>208</v>
      </c>
      <c r="C2" s="31" t="s">
        <v>239</v>
      </c>
      <c r="D2" s="31"/>
      <c r="E2" s="31"/>
      <c r="F2" s="31"/>
      <c r="G2" s="31"/>
      <c r="H2" s="31"/>
      <c r="I2" s="31"/>
      <c r="J2" s="31"/>
      <c r="K2" s="31"/>
    </row>
    <row r="3" spans="2:11" ht="15.75" thickTop="1" x14ac:dyDescent="0.25"/>
    <row r="4" spans="2:11" x14ac:dyDescent="0.25">
      <c r="B4" s="114" t="s">
        <v>6</v>
      </c>
      <c r="C4" s="115"/>
      <c r="D4" s="115"/>
      <c r="E4" s="115"/>
      <c r="F4" s="115"/>
      <c r="G4" s="115"/>
      <c r="H4" s="115"/>
      <c r="I4" s="116" t="s">
        <v>7</v>
      </c>
      <c r="J4" s="117"/>
      <c r="K4" s="118"/>
    </row>
    <row r="5" spans="2:11" x14ac:dyDescent="0.25">
      <c r="B5" s="3"/>
      <c r="C5" s="4"/>
      <c r="D5" s="3"/>
      <c r="E5" s="4"/>
      <c r="F5" s="109" t="s">
        <v>30</v>
      </c>
      <c r="G5" s="110"/>
      <c r="H5" s="111"/>
      <c r="I5" s="112" t="s">
        <v>31</v>
      </c>
      <c r="J5" s="112"/>
      <c r="K5" s="113"/>
    </row>
    <row r="6" spans="2:11" ht="75" x14ac:dyDescent="0.25">
      <c r="B6" s="5" t="s">
        <v>268</v>
      </c>
      <c r="C6" s="6" t="s">
        <v>0</v>
      </c>
      <c r="D6" s="5" t="s">
        <v>1</v>
      </c>
      <c r="E6" s="6" t="s">
        <v>2</v>
      </c>
      <c r="F6" s="9" t="s">
        <v>27</v>
      </c>
      <c r="G6" s="2" t="s">
        <v>28</v>
      </c>
      <c r="H6" s="10" t="s">
        <v>29</v>
      </c>
      <c r="I6" s="14" t="s">
        <v>3</v>
      </c>
      <c r="J6" s="15" t="s">
        <v>4</v>
      </c>
      <c r="K6" s="16" t="s">
        <v>5</v>
      </c>
    </row>
    <row r="7" spans="2:11" x14ac:dyDescent="0.25">
      <c r="B7" s="19" t="s">
        <v>185</v>
      </c>
      <c r="C7" s="20" t="s">
        <v>186</v>
      </c>
      <c r="D7" s="21"/>
      <c r="E7" s="20"/>
      <c r="F7" s="22"/>
      <c r="G7" s="23"/>
      <c r="H7" s="24"/>
      <c r="I7" s="11">
        <f>Tabel_4.1_SK[[#This Row],[Mængde]]*(Tabel_4.1_SK[[#This Row],[a. 
Den absolut mindste enhedspris, der forekommer mulig
(Optimistisk)]]
+3*Tabel_4.1_SK[[#This Row],[b. 
Den mest sandsynlige enhedspris]]
+Tabel_4.1_SK[[#This Row],[c. 
Den absolut størst tænkelige enhedspris
(pessimistisk)]])/5</f>
        <v>0</v>
      </c>
      <c r="J7" s="1">
        <f>Tabel_4.1_SK[[#This Row],[Mængde]]*(Tabel_4.1_SK[[#This Row],[c. 
Den absolut størst tænkelige enhedspris
(pessimistisk)]]
-Tabel_4.1_SK[[#This Row],[a. 
Den absolut mindste enhedspris, der forekommer mulig
(Optimistisk)]])/5</f>
        <v>0</v>
      </c>
      <c r="K7" s="12">
        <f>Tabel_4.1_SK[[#This Row],[s.
spredningen
(standardafvigelsen)]]^2*0.000001</f>
        <v>0</v>
      </c>
    </row>
    <row r="8" spans="2:11" x14ac:dyDescent="0.25">
      <c r="B8" s="19" t="s">
        <v>187</v>
      </c>
      <c r="C8" s="20" t="s">
        <v>188</v>
      </c>
      <c r="D8" s="21"/>
      <c r="E8" s="20"/>
      <c r="F8" s="22"/>
      <c r="G8" s="23"/>
      <c r="H8" s="24"/>
      <c r="I8" s="11">
        <f>Tabel_4.1_SK[[#This Row],[Mængde]]*(Tabel_4.1_SK[[#This Row],[a. 
Den absolut mindste enhedspris, der forekommer mulig
(Optimistisk)]]
+3*Tabel_4.1_SK[[#This Row],[b. 
Den mest sandsynlige enhedspris]]
+Tabel_4.1_SK[[#This Row],[c. 
Den absolut størst tænkelige enhedspris
(pessimistisk)]])/5</f>
        <v>0</v>
      </c>
      <c r="J8" s="1">
        <f>Tabel_4.1_SK[[#This Row],[Mængde]]*(Tabel_4.1_SK[[#This Row],[c. 
Den absolut størst tænkelige enhedspris
(pessimistisk)]]
-Tabel_4.1_SK[[#This Row],[a. 
Den absolut mindste enhedspris, der forekommer mulig
(Optimistisk)]])/5</f>
        <v>0</v>
      </c>
      <c r="K8" s="12">
        <f>Tabel_4.1_SK[[#This Row],[s.
spredningen
(standardafvigelsen)]]^2*0.000001</f>
        <v>0</v>
      </c>
    </row>
    <row r="9" spans="2:11" x14ac:dyDescent="0.25">
      <c r="B9" s="19" t="s">
        <v>189</v>
      </c>
      <c r="C9" s="20" t="s">
        <v>190</v>
      </c>
      <c r="D9" s="21"/>
      <c r="E9" s="20"/>
      <c r="F9" s="22"/>
      <c r="G9" s="23"/>
      <c r="H9" s="24"/>
      <c r="I9" s="11">
        <f>Tabel_4.1_SK[[#This Row],[Mængde]]*(Tabel_4.1_SK[[#This Row],[a. 
Den absolut mindste enhedspris, der forekommer mulig
(Optimistisk)]]
+3*Tabel_4.1_SK[[#This Row],[b. 
Den mest sandsynlige enhedspris]]
+Tabel_4.1_SK[[#This Row],[c. 
Den absolut størst tænkelige enhedspris
(pessimistisk)]])/5</f>
        <v>0</v>
      </c>
      <c r="J9" s="1">
        <f>Tabel_4.1_SK[[#This Row],[Mængde]]*(Tabel_4.1_SK[[#This Row],[c. 
Den absolut størst tænkelige enhedspris
(pessimistisk)]]
-Tabel_4.1_SK[[#This Row],[a. 
Den absolut mindste enhedspris, der forekommer mulig
(Optimistisk)]])/5</f>
        <v>0</v>
      </c>
      <c r="K9" s="12">
        <f>Tabel_4.1_SK[[#This Row],[s.
spredningen
(standardafvigelsen)]]^2*0.000001</f>
        <v>0</v>
      </c>
    </row>
    <row r="10" spans="2:11" x14ac:dyDescent="0.25">
      <c r="B10" s="19" t="s">
        <v>191</v>
      </c>
      <c r="C10" s="20" t="s">
        <v>192</v>
      </c>
      <c r="D10" s="21"/>
      <c r="E10" s="20"/>
      <c r="F10" s="22"/>
      <c r="G10" s="23"/>
      <c r="H10" s="24"/>
      <c r="I10" s="11">
        <f>Tabel_4.1_SK[[#This Row],[Mængde]]*(Tabel_4.1_SK[[#This Row],[a. 
Den absolut mindste enhedspris, der forekommer mulig
(Optimistisk)]]
+3*Tabel_4.1_SK[[#This Row],[b. 
Den mest sandsynlige enhedspris]]
+Tabel_4.1_SK[[#This Row],[c. 
Den absolut størst tænkelige enhedspris
(pessimistisk)]])/5</f>
        <v>0</v>
      </c>
      <c r="J10" s="1">
        <f>Tabel_4.1_SK[[#This Row],[Mængde]]*(Tabel_4.1_SK[[#This Row],[c. 
Den absolut størst tænkelige enhedspris
(pessimistisk)]]
-Tabel_4.1_SK[[#This Row],[a. 
Den absolut mindste enhedspris, der forekommer mulig
(Optimistisk)]])/5</f>
        <v>0</v>
      </c>
      <c r="K10" s="12">
        <f>Tabel_4.1_SK[[#This Row],[s.
spredningen
(standardafvigelsen)]]^2*0.000001</f>
        <v>0</v>
      </c>
    </row>
    <row r="11" spans="2:11" x14ac:dyDescent="0.25">
      <c r="B11" s="19" t="s">
        <v>193</v>
      </c>
      <c r="C11" s="20" t="s">
        <v>194</v>
      </c>
      <c r="D11" s="21"/>
      <c r="E11" s="20"/>
      <c r="F11" s="22"/>
      <c r="G11" s="23"/>
      <c r="H11" s="24"/>
      <c r="I11" s="11">
        <f>Tabel_4.1_SK[[#This Row],[Mængde]]*(Tabel_4.1_SK[[#This Row],[a. 
Den absolut mindste enhedspris, der forekommer mulig
(Optimistisk)]]
+3*Tabel_4.1_SK[[#This Row],[b. 
Den mest sandsynlige enhedspris]]
+Tabel_4.1_SK[[#This Row],[c. 
Den absolut størst tænkelige enhedspris
(pessimistisk)]])/5</f>
        <v>0</v>
      </c>
      <c r="J11" s="1">
        <f>Tabel_4.1_SK[[#This Row],[Mængde]]*(Tabel_4.1_SK[[#This Row],[c. 
Den absolut størst tænkelige enhedspris
(pessimistisk)]]
-Tabel_4.1_SK[[#This Row],[a. 
Den absolut mindste enhedspris, der forekommer mulig
(Optimistisk)]])/5</f>
        <v>0</v>
      </c>
      <c r="K11" s="12">
        <f>Tabel_4.1_SK[[#This Row],[s.
spredningen
(standardafvigelsen)]]^2*0.000001</f>
        <v>0</v>
      </c>
    </row>
    <row r="12" spans="2:11" x14ac:dyDescent="0.25">
      <c r="B12" s="19" t="s">
        <v>195</v>
      </c>
      <c r="C12" s="20" t="s">
        <v>196</v>
      </c>
      <c r="D12" s="21"/>
      <c r="E12" s="20"/>
      <c r="F12" s="22"/>
      <c r="G12" s="23"/>
      <c r="H12" s="24"/>
      <c r="I12" s="11">
        <f>Tabel_4.1_SK[[#This Row],[Mængde]]*(Tabel_4.1_SK[[#This Row],[a. 
Den absolut mindste enhedspris, der forekommer mulig
(Optimistisk)]]
+3*Tabel_4.1_SK[[#This Row],[b. 
Den mest sandsynlige enhedspris]]
+Tabel_4.1_SK[[#This Row],[c. 
Den absolut størst tænkelige enhedspris
(pessimistisk)]])/5</f>
        <v>0</v>
      </c>
      <c r="J12" s="1">
        <f>Tabel_4.1_SK[[#This Row],[Mængde]]*(Tabel_4.1_SK[[#This Row],[c. 
Den absolut størst tænkelige enhedspris
(pessimistisk)]]
-Tabel_4.1_SK[[#This Row],[a. 
Den absolut mindste enhedspris, der forekommer mulig
(Optimistisk)]])/5</f>
        <v>0</v>
      </c>
      <c r="K12" s="12">
        <f>Tabel_4.1_SK[[#This Row],[s.
spredningen
(standardafvigelsen)]]^2*0.000001</f>
        <v>0</v>
      </c>
    </row>
    <row r="13" spans="2:11" x14ac:dyDescent="0.25">
      <c r="B13" s="19" t="s">
        <v>197</v>
      </c>
      <c r="C13" s="20" t="s">
        <v>198</v>
      </c>
      <c r="D13" s="21"/>
      <c r="E13" s="20"/>
      <c r="F13" s="22"/>
      <c r="G13" s="23"/>
      <c r="H13" s="24"/>
      <c r="I13" s="11">
        <f>Tabel_4.1_SK[[#This Row],[Mængde]]*(Tabel_4.1_SK[[#This Row],[a. 
Den absolut mindste enhedspris, der forekommer mulig
(Optimistisk)]]
+3*Tabel_4.1_SK[[#This Row],[b. 
Den mest sandsynlige enhedspris]]
+Tabel_4.1_SK[[#This Row],[c. 
Den absolut størst tænkelige enhedspris
(pessimistisk)]])/5</f>
        <v>0</v>
      </c>
      <c r="J13" s="1">
        <f>Tabel_4.1_SK[[#This Row],[Mængde]]*(Tabel_4.1_SK[[#This Row],[c. 
Den absolut størst tænkelige enhedspris
(pessimistisk)]]
-Tabel_4.1_SK[[#This Row],[a. 
Den absolut mindste enhedspris, der forekommer mulig
(Optimistisk)]])/5</f>
        <v>0</v>
      </c>
      <c r="K13" s="12">
        <f>Tabel_4.1_SK[[#This Row],[s.
spredningen
(standardafvigelsen)]]^2*0.000001</f>
        <v>0</v>
      </c>
    </row>
    <row r="14" spans="2:11" x14ac:dyDescent="0.25">
      <c r="B14" s="19" t="s">
        <v>199</v>
      </c>
      <c r="C14" s="20" t="s">
        <v>200</v>
      </c>
      <c r="D14" s="21"/>
      <c r="E14" s="20"/>
      <c r="F14" s="22"/>
      <c r="G14" s="23"/>
      <c r="H14" s="24"/>
      <c r="I14" s="11">
        <f>Tabel_4.1_SK[[#This Row],[Mængde]]*(Tabel_4.1_SK[[#This Row],[a. 
Den absolut mindste enhedspris, der forekommer mulig
(Optimistisk)]]
+3*Tabel_4.1_SK[[#This Row],[b. 
Den mest sandsynlige enhedspris]]
+Tabel_4.1_SK[[#This Row],[c. 
Den absolut størst tænkelige enhedspris
(pessimistisk)]])/5</f>
        <v>0</v>
      </c>
      <c r="J14" s="1">
        <f>Tabel_4.1_SK[[#This Row],[Mængde]]*(Tabel_4.1_SK[[#This Row],[c. 
Den absolut størst tænkelige enhedspris
(pessimistisk)]]
-Tabel_4.1_SK[[#This Row],[a. 
Den absolut mindste enhedspris, der forekommer mulig
(Optimistisk)]])/5</f>
        <v>0</v>
      </c>
      <c r="K14" s="12">
        <f>Tabel_4.1_SK[[#This Row],[s.
spredningen
(standardafvigelsen)]]^2*0.000001</f>
        <v>0</v>
      </c>
    </row>
    <row r="15" spans="2:11" x14ac:dyDescent="0.25">
      <c r="B15" s="19" t="s">
        <v>201</v>
      </c>
      <c r="C15" s="20" t="s">
        <v>202</v>
      </c>
      <c r="D15" s="21"/>
      <c r="E15" s="20"/>
      <c r="F15" s="22"/>
      <c r="G15" s="23"/>
      <c r="H15" s="24"/>
      <c r="I15" s="11">
        <f>Tabel_4.1_SK[[#This Row],[Mængde]]*(Tabel_4.1_SK[[#This Row],[a. 
Den absolut mindste enhedspris, der forekommer mulig
(Optimistisk)]]
+3*Tabel_4.1_SK[[#This Row],[b. 
Den mest sandsynlige enhedspris]]
+Tabel_4.1_SK[[#This Row],[c. 
Den absolut størst tænkelige enhedspris
(pessimistisk)]])/5</f>
        <v>0</v>
      </c>
      <c r="J15" s="1">
        <f>Tabel_4.1_SK[[#This Row],[Mængde]]*(Tabel_4.1_SK[[#This Row],[c. 
Den absolut størst tænkelige enhedspris
(pessimistisk)]]
-Tabel_4.1_SK[[#This Row],[a. 
Den absolut mindste enhedspris, der forekommer mulig
(Optimistisk)]])/5</f>
        <v>0</v>
      </c>
      <c r="K15" s="12">
        <f>Tabel_4.1_SK[[#This Row],[s.
spredningen
(standardafvigelsen)]]^2*0.000001</f>
        <v>0</v>
      </c>
    </row>
    <row r="16" spans="2:11" x14ac:dyDescent="0.25">
      <c r="B16" s="19" t="s">
        <v>203</v>
      </c>
      <c r="C16" s="20" t="s">
        <v>204</v>
      </c>
      <c r="D16" s="21"/>
      <c r="E16" s="20"/>
      <c r="F16" s="22"/>
      <c r="G16" s="23"/>
      <c r="H16" s="24"/>
      <c r="I16" s="11">
        <f>Tabel_4.1_SK[[#This Row],[Mængde]]*(Tabel_4.1_SK[[#This Row],[a. 
Den absolut mindste enhedspris, der forekommer mulig
(Optimistisk)]]
+3*Tabel_4.1_SK[[#This Row],[b. 
Den mest sandsynlige enhedspris]]
+Tabel_4.1_SK[[#This Row],[c. 
Den absolut størst tænkelige enhedspris
(pessimistisk)]])/5</f>
        <v>0</v>
      </c>
      <c r="J16" s="1">
        <f>Tabel_4.1_SK[[#This Row],[Mængde]]*(Tabel_4.1_SK[[#This Row],[c. 
Den absolut størst tænkelige enhedspris
(pessimistisk)]]
-Tabel_4.1_SK[[#This Row],[a. 
Den absolut mindste enhedspris, der forekommer mulig
(Optimistisk)]])/5</f>
        <v>0</v>
      </c>
      <c r="K16" s="12">
        <f>Tabel_4.1_SK[[#This Row],[s.
spredningen
(standardafvigelsen)]]^2*0.000001</f>
        <v>0</v>
      </c>
    </row>
    <row r="17" spans="2:11" x14ac:dyDescent="0.25">
      <c r="B17" s="19" t="s">
        <v>205</v>
      </c>
      <c r="C17" s="20" t="s">
        <v>206</v>
      </c>
      <c r="D17" s="21"/>
      <c r="E17" s="20"/>
      <c r="F17" s="22"/>
      <c r="G17" s="23"/>
      <c r="H17" s="24"/>
      <c r="I17" s="11">
        <f>Tabel_4.1_SK[[#This Row],[Mængde]]*(Tabel_4.1_SK[[#This Row],[a. 
Den absolut mindste enhedspris, der forekommer mulig
(Optimistisk)]]
+3*Tabel_4.1_SK[[#This Row],[b. 
Den mest sandsynlige enhedspris]]
+Tabel_4.1_SK[[#This Row],[c. 
Den absolut størst tænkelige enhedspris
(pessimistisk)]])/5</f>
        <v>0</v>
      </c>
      <c r="J17" s="1">
        <f>Tabel_4.1_SK[[#This Row],[Mængde]]*(Tabel_4.1_SK[[#This Row],[c. 
Den absolut størst tænkelige enhedspris
(pessimistisk)]]
-Tabel_4.1_SK[[#This Row],[a. 
Den absolut mindste enhedspris, der forekommer mulig
(Optimistisk)]])/5</f>
        <v>0</v>
      </c>
      <c r="K17" s="12">
        <f>Tabel_4.1_SK[[#This Row],[s.
spredningen
(standardafvigelsen)]]^2*0.000001</f>
        <v>0</v>
      </c>
    </row>
    <row r="18" spans="2:11" x14ac:dyDescent="0.25">
      <c r="B18" s="19" t="s">
        <v>207</v>
      </c>
      <c r="C18" s="20"/>
      <c r="D18" s="21"/>
      <c r="E18" s="20"/>
      <c r="F18" s="22"/>
      <c r="G18" s="23"/>
      <c r="H18" s="24"/>
      <c r="I18" s="11">
        <f>Tabel_4.1_SK[[#This Row],[Mængde]]*(Tabel_4.1_SK[[#This Row],[a. 
Den absolut mindste enhedspris, der forekommer mulig
(Optimistisk)]]
+3*Tabel_4.1_SK[[#This Row],[b. 
Den mest sandsynlige enhedspris]]
+Tabel_4.1_SK[[#This Row],[c. 
Den absolut størst tænkelige enhedspris
(pessimistisk)]])/5</f>
        <v>0</v>
      </c>
      <c r="J18" s="1">
        <f>Tabel_4.1_SK[[#This Row],[Mængde]]*(Tabel_4.1_SK[[#This Row],[c. 
Den absolut størst tænkelige enhedspris
(pessimistisk)]]
-Tabel_4.1_SK[[#This Row],[a. 
Den absolut mindste enhedspris, der forekommer mulig
(Optimistisk)]])/5</f>
        <v>0</v>
      </c>
      <c r="K18" s="12">
        <f>Tabel_4.1_SK[[#This Row],[s.
spredningen
(standardafvigelsen)]]^2*0.000001</f>
        <v>0</v>
      </c>
    </row>
    <row r="19" spans="2:11" x14ac:dyDescent="0.25">
      <c r="B19" s="19"/>
      <c r="C19" s="20"/>
      <c r="D19" s="21"/>
      <c r="E19" s="20"/>
      <c r="F19" s="22"/>
      <c r="G19" s="23"/>
      <c r="H19" s="24"/>
      <c r="I19" s="11">
        <f>Tabel_4.1_SK[[#This Row],[Mængde]]*(Tabel_4.1_SK[[#This Row],[a. 
Den absolut mindste enhedspris, der forekommer mulig
(Optimistisk)]]
+3*Tabel_4.1_SK[[#This Row],[b. 
Den mest sandsynlige enhedspris]]
+Tabel_4.1_SK[[#This Row],[c. 
Den absolut størst tænkelige enhedspris
(pessimistisk)]])/5</f>
        <v>0</v>
      </c>
      <c r="J19" s="1">
        <f>Tabel_4.1_SK[[#This Row],[Mængde]]*(Tabel_4.1_SK[[#This Row],[c. 
Den absolut størst tænkelige enhedspris
(pessimistisk)]]
-Tabel_4.1_SK[[#This Row],[a. 
Den absolut mindste enhedspris, der forekommer mulig
(Optimistisk)]])/5</f>
        <v>0</v>
      </c>
      <c r="K19" s="12">
        <f>Tabel_4.1_SK[[#This Row],[s.
spredningen
(standardafvigelsen)]]^2*0.000001</f>
        <v>0</v>
      </c>
    </row>
    <row r="20" spans="2:11" x14ac:dyDescent="0.25">
      <c r="B20" s="7" t="s">
        <v>208</v>
      </c>
      <c r="C20" s="8" t="s">
        <v>209</v>
      </c>
      <c r="D20" s="7"/>
      <c r="E20" s="8"/>
      <c r="F20" s="7"/>
      <c r="G20" s="13"/>
      <c r="H20" s="8"/>
      <c r="I20" s="17">
        <f>SUBTOTAL(109,Tabel_4.1_SK[m.
Den forventede værdi (middelværdi)])</f>
        <v>0</v>
      </c>
      <c r="J20" s="13"/>
      <c r="K20" s="18">
        <f>SUBTOTAL(109,Tabel_4.1_SK[v.
varians (s2x10-7)])</f>
        <v>0</v>
      </c>
    </row>
    <row r="22" spans="2:11" ht="18.75" x14ac:dyDescent="0.3">
      <c r="C22" s="35" t="str">
        <f>HYPERLINK("#Samleark!RangeBudgetStart","Til Samleark")</f>
        <v>Til Samleark</v>
      </c>
      <c r="F22" s="35" t="str">
        <f>HYPERLINK("#Vejledning!RangeVejledningStart","Til Vejledning")</f>
        <v>Til Vejledning</v>
      </c>
    </row>
    <row r="24" spans="2:11" ht="20.25" thickBot="1" x14ac:dyDescent="0.35">
      <c r="B24" s="31" t="s">
        <v>416</v>
      </c>
      <c r="C24" s="31" t="s">
        <v>240</v>
      </c>
      <c r="D24" s="31"/>
      <c r="E24" s="31"/>
      <c r="F24" s="31"/>
      <c r="G24" s="31"/>
      <c r="H24" s="31"/>
      <c r="I24" s="31"/>
      <c r="J24" s="31"/>
      <c r="K24" s="31"/>
    </row>
    <row r="25" spans="2:11" ht="15.75" thickTop="1" x14ac:dyDescent="0.25"/>
    <row r="26" spans="2:11" x14ac:dyDescent="0.25">
      <c r="B26" s="114" t="s">
        <v>6</v>
      </c>
      <c r="C26" s="115"/>
      <c r="D26" s="115"/>
      <c r="E26" s="115"/>
      <c r="F26" s="115"/>
      <c r="G26" s="115"/>
      <c r="H26" s="115"/>
      <c r="I26" s="116" t="s">
        <v>7</v>
      </c>
      <c r="J26" s="117"/>
      <c r="K26" s="118"/>
    </row>
    <row r="27" spans="2:11" x14ac:dyDescent="0.25">
      <c r="B27" s="3"/>
      <c r="C27" s="4"/>
      <c r="D27" s="3"/>
      <c r="E27" s="4"/>
      <c r="F27" s="109" t="s">
        <v>30</v>
      </c>
      <c r="G27" s="110"/>
      <c r="H27" s="111"/>
      <c r="I27" s="112" t="s">
        <v>31</v>
      </c>
      <c r="J27" s="112"/>
      <c r="K27" s="113"/>
    </row>
    <row r="28" spans="2:11" ht="75" x14ac:dyDescent="0.25">
      <c r="B28" s="5" t="s">
        <v>268</v>
      </c>
      <c r="C28" s="6" t="s">
        <v>0</v>
      </c>
      <c r="D28" s="5" t="s">
        <v>1</v>
      </c>
      <c r="E28" s="6" t="s">
        <v>2</v>
      </c>
      <c r="F28" s="9" t="s">
        <v>27</v>
      </c>
      <c r="G28" s="2" t="s">
        <v>28</v>
      </c>
      <c r="H28" s="10" t="s">
        <v>29</v>
      </c>
      <c r="I28" s="14" t="s">
        <v>3</v>
      </c>
      <c r="J28" s="15" t="s">
        <v>4</v>
      </c>
      <c r="K28" s="16" t="s">
        <v>5</v>
      </c>
    </row>
    <row r="29" spans="2:11" x14ac:dyDescent="0.25">
      <c r="B29" s="91" t="s">
        <v>417</v>
      </c>
      <c r="C29" s="92" t="s">
        <v>210</v>
      </c>
      <c r="D29" s="93"/>
      <c r="E29" s="92"/>
      <c r="F29" s="94"/>
      <c r="G29" s="95"/>
      <c r="H29" s="96"/>
      <c r="I29" s="97">
        <f>Tabel_4.2_SK[[#This Row],[Mængde]]*(Tabel_4.2_SK[[#This Row],[a. 
Den absolut mindste enhedspris, der forekommer mulig
(Optimistisk)]]
+3*Tabel_4.2_SK[[#This Row],[b. 
Den mest sandsynlige enhedspris]]
+Tabel_4.2_SK[[#This Row],[c. 
Den absolut størst tænkelige enhedspris
(pessimistisk)]])/5</f>
        <v>0</v>
      </c>
      <c r="J29" s="98">
        <f>Tabel_4.2_SK[[#This Row],[Mængde]]*(Tabel_4.2_SK[[#This Row],[c. 
Den absolut størst tænkelige enhedspris
(pessimistisk)]]
-Tabel_4.2_SK[[#This Row],[a. 
Den absolut mindste enhedspris, der forekommer mulig
(Optimistisk)]])/5</f>
        <v>0</v>
      </c>
      <c r="K29" s="99">
        <f>Tabel_4.2_SK[[#This Row],[s.
spredningen
(standardafvigelsen)]]^2*0.000001</f>
        <v>0</v>
      </c>
    </row>
    <row r="30" spans="2:11" x14ac:dyDescent="0.25">
      <c r="B30" s="91" t="s">
        <v>418</v>
      </c>
      <c r="C30" s="92" t="s">
        <v>211</v>
      </c>
      <c r="D30" s="93"/>
      <c r="E30" s="92"/>
      <c r="F30" s="94"/>
      <c r="G30" s="95"/>
      <c r="H30" s="96"/>
      <c r="I30" s="97">
        <f>Tabel_4.2_SK[[#This Row],[Mængde]]*(Tabel_4.2_SK[[#This Row],[a. 
Den absolut mindste enhedspris, der forekommer mulig
(Optimistisk)]]
+3*Tabel_4.2_SK[[#This Row],[b. 
Den mest sandsynlige enhedspris]]
+Tabel_4.2_SK[[#This Row],[c. 
Den absolut størst tænkelige enhedspris
(pessimistisk)]])/5</f>
        <v>0</v>
      </c>
      <c r="J30" s="98">
        <f>Tabel_4.2_SK[[#This Row],[Mængde]]*(Tabel_4.2_SK[[#This Row],[c. 
Den absolut størst tænkelige enhedspris
(pessimistisk)]]
-Tabel_4.2_SK[[#This Row],[a. 
Den absolut mindste enhedspris, der forekommer mulig
(Optimistisk)]])/5</f>
        <v>0</v>
      </c>
      <c r="K30" s="99">
        <f>Tabel_4.2_SK[[#This Row],[s.
spredningen
(standardafvigelsen)]]^2*0.000001</f>
        <v>0</v>
      </c>
    </row>
    <row r="31" spans="2:11" x14ac:dyDescent="0.25">
      <c r="B31" s="91" t="s">
        <v>419</v>
      </c>
      <c r="C31" s="92" t="s">
        <v>212</v>
      </c>
      <c r="D31" s="93"/>
      <c r="E31" s="92"/>
      <c r="F31" s="94"/>
      <c r="G31" s="95"/>
      <c r="H31" s="96"/>
      <c r="I31" s="97">
        <f>Tabel_4.2_SK[[#This Row],[Mængde]]*(Tabel_4.2_SK[[#This Row],[a. 
Den absolut mindste enhedspris, der forekommer mulig
(Optimistisk)]]
+3*Tabel_4.2_SK[[#This Row],[b. 
Den mest sandsynlige enhedspris]]
+Tabel_4.2_SK[[#This Row],[c. 
Den absolut størst tænkelige enhedspris
(pessimistisk)]])/5</f>
        <v>0</v>
      </c>
      <c r="J31" s="98">
        <f>Tabel_4.2_SK[[#This Row],[Mængde]]*(Tabel_4.2_SK[[#This Row],[c. 
Den absolut størst tænkelige enhedspris
(pessimistisk)]]
-Tabel_4.2_SK[[#This Row],[a. 
Den absolut mindste enhedspris, der forekommer mulig
(Optimistisk)]])/5</f>
        <v>0</v>
      </c>
      <c r="K31" s="99">
        <f>Tabel_4.2_SK[[#This Row],[s.
spredningen
(standardafvigelsen)]]^2*0.000001</f>
        <v>0</v>
      </c>
    </row>
    <row r="32" spans="2:11" x14ac:dyDescent="0.25">
      <c r="B32" s="91" t="s">
        <v>420</v>
      </c>
      <c r="C32" s="92" t="s">
        <v>213</v>
      </c>
      <c r="D32" s="93"/>
      <c r="E32" s="92"/>
      <c r="F32" s="94"/>
      <c r="G32" s="95"/>
      <c r="H32" s="96"/>
      <c r="I32" s="97">
        <f>Tabel_4.2_SK[[#This Row],[Mængde]]*(Tabel_4.2_SK[[#This Row],[a. 
Den absolut mindste enhedspris, der forekommer mulig
(Optimistisk)]]
+3*Tabel_4.2_SK[[#This Row],[b. 
Den mest sandsynlige enhedspris]]
+Tabel_4.2_SK[[#This Row],[c. 
Den absolut størst tænkelige enhedspris
(pessimistisk)]])/5</f>
        <v>0</v>
      </c>
      <c r="J32" s="98">
        <f>Tabel_4.2_SK[[#This Row],[Mængde]]*(Tabel_4.2_SK[[#This Row],[c. 
Den absolut størst tænkelige enhedspris
(pessimistisk)]]
-Tabel_4.2_SK[[#This Row],[a. 
Den absolut mindste enhedspris, der forekommer mulig
(Optimistisk)]])/5</f>
        <v>0</v>
      </c>
      <c r="K32" s="99">
        <f>Tabel_4.2_SK[[#This Row],[s.
spredningen
(standardafvigelsen)]]^2*0.000001</f>
        <v>0</v>
      </c>
    </row>
    <row r="33" spans="2:11" x14ac:dyDescent="0.25">
      <c r="B33" s="91" t="s">
        <v>421</v>
      </c>
      <c r="C33" s="92" t="s">
        <v>214</v>
      </c>
      <c r="D33" s="93"/>
      <c r="E33" s="92"/>
      <c r="F33" s="94"/>
      <c r="G33" s="95"/>
      <c r="H33" s="96"/>
      <c r="I33" s="97">
        <f>Tabel_4.2_SK[[#This Row],[Mængde]]*(Tabel_4.2_SK[[#This Row],[a. 
Den absolut mindste enhedspris, der forekommer mulig
(Optimistisk)]]
+3*Tabel_4.2_SK[[#This Row],[b. 
Den mest sandsynlige enhedspris]]
+Tabel_4.2_SK[[#This Row],[c. 
Den absolut størst tænkelige enhedspris
(pessimistisk)]])/5</f>
        <v>0</v>
      </c>
      <c r="J33" s="98">
        <f>Tabel_4.2_SK[[#This Row],[Mængde]]*(Tabel_4.2_SK[[#This Row],[c. 
Den absolut størst tænkelige enhedspris
(pessimistisk)]]
-Tabel_4.2_SK[[#This Row],[a. 
Den absolut mindste enhedspris, der forekommer mulig
(Optimistisk)]])/5</f>
        <v>0</v>
      </c>
      <c r="K33" s="99">
        <f>Tabel_4.2_SK[[#This Row],[s.
spredningen
(standardafvigelsen)]]^2*0.000001</f>
        <v>0</v>
      </c>
    </row>
    <row r="34" spans="2:11" x14ac:dyDescent="0.25">
      <c r="B34" s="91" t="s">
        <v>422</v>
      </c>
      <c r="C34" s="92" t="s">
        <v>215</v>
      </c>
      <c r="D34" s="93"/>
      <c r="E34" s="92"/>
      <c r="F34" s="94"/>
      <c r="G34" s="95"/>
      <c r="H34" s="96"/>
      <c r="I34" s="97">
        <f>Tabel_4.2_SK[[#This Row],[Mængde]]*(Tabel_4.2_SK[[#This Row],[a. 
Den absolut mindste enhedspris, der forekommer mulig
(Optimistisk)]]
+3*Tabel_4.2_SK[[#This Row],[b. 
Den mest sandsynlige enhedspris]]
+Tabel_4.2_SK[[#This Row],[c. 
Den absolut størst tænkelige enhedspris
(pessimistisk)]])/5</f>
        <v>0</v>
      </c>
      <c r="J34" s="98">
        <f>Tabel_4.2_SK[[#This Row],[Mængde]]*(Tabel_4.2_SK[[#This Row],[c. 
Den absolut størst tænkelige enhedspris
(pessimistisk)]]
-Tabel_4.2_SK[[#This Row],[a. 
Den absolut mindste enhedspris, der forekommer mulig
(Optimistisk)]])/5</f>
        <v>0</v>
      </c>
      <c r="K34" s="99">
        <f>Tabel_4.2_SK[[#This Row],[s.
spredningen
(standardafvigelsen)]]^2*0.000001</f>
        <v>0</v>
      </c>
    </row>
    <row r="35" spans="2:11" ht="30" x14ac:dyDescent="0.25">
      <c r="B35" s="91" t="s">
        <v>431</v>
      </c>
      <c r="C35" s="90" t="s">
        <v>411</v>
      </c>
      <c r="D35" s="93"/>
      <c r="E35" s="92"/>
      <c r="F35" s="94"/>
      <c r="G35" s="95"/>
      <c r="H35" s="96"/>
      <c r="I35" s="97">
        <f>Tabel_4.2_SK[[#This Row],[Mængde]]*(Tabel_4.2_SK[[#This Row],[a. 
Den absolut mindste enhedspris, der forekommer mulig
(Optimistisk)]]
+3*Tabel_4.2_SK[[#This Row],[b. 
Den mest sandsynlige enhedspris]]
+Tabel_4.2_SK[[#This Row],[c. 
Den absolut størst tænkelige enhedspris
(pessimistisk)]])/5</f>
        <v>0</v>
      </c>
      <c r="J35" s="98">
        <f>Tabel_4.2_SK[[#This Row],[Mængde]]*(Tabel_4.2_SK[[#This Row],[c. 
Den absolut størst tænkelige enhedspris
(pessimistisk)]]
-Tabel_4.2_SK[[#This Row],[a. 
Den absolut mindste enhedspris, der forekommer mulig
(Optimistisk)]])/5</f>
        <v>0</v>
      </c>
      <c r="K35" s="99">
        <f>Tabel_4.2_SK[[#This Row],[s.
spredningen
(standardafvigelsen)]]^2*0.000001</f>
        <v>0</v>
      </c>
    </row>
    <row r="36" spans="2:11" x14ac:dyDescent="0.25">
      <c r="B36" s="91" t="s">
        <v>432</v>
      </c>
      <c r="C36" s="92" t="s">
        <v>412</v>
      </c>
      <c r="D36" s="93"/>
      <c r="E36" s="92"/>
      <c r="F36" s="94"/>
      <c r="G36" s="95"/>
      <c r="H36" s="96"/>
      <c r="I36" s="97">
        <f>Tabel_4.2_SK[[#This Row],[Mængde]]*(Tabel_4.2_SK[[#This Row],[a. 
Den absolut mindste enhedspris, der forekommer mulig
(Optimistisk)]]
+3*Tabel_4.2_SK[[#This Row],[b. 
Den mest sandsynlige enhedspris]]
+Tabel_4.2_SK[[#This Row],[c. 
Den absolut størst tænkelige enhedspris
(pessimistisk)]])/5</f>
        <v>0</v>
      </c>
      <c r="J36" s="98">
        <f>Tabel_4.2_SK[[#This Row],[Mængde]]*(Tabel_4.2_SK[[#This Row],[c. 
Den absolut størst tænkelige enhedspris
(pessimistisk)]]
-Tabel_4.2_SK[[#This Row],[a. 
Den absolut mindste enhedspris, der forekommer mulig
(Optimistisk)]])/5</f>
        <v>0</v>
      </c>
      <c r="K36" s="99">
        <f>Tabel_4.2_SK[[#This Row],[s.
spredningen
(standardafvigelsen)]]^2*0.000001</f>
        <v>0</v>
      </c>
    </row>
    <row r="37" spans="2:11" x14ac:dyDescent="0.25">
      <c r="B37" s="91" t="s">
        <v>433</v>
      </c>
      <c r="C37" s="92" t="s">
        <v>413</v>
      </c>
      <c r="D37" s="93"/>
      <c r="E37" s="92"/>
      <c r="F37" s="94"/>
      <c r="G37" s="95"/>
      <c r="H37" s="96"/>
      <c r="I37" s="97">
        <f>Tabel_4.2_SK[[#This Row],[Mængde]]*(Tabel_4.2_SK[[#This Row],[a. 
Den absolut mindste enhedspris, der forekommer mulig
(Optimistisk)]]
+3*Tabel_4.2_SK[[#This Row],[b. 
Den mest sandsynlige enhedspris]]
+Tabel_4.2_SK[[#This Row],[c. 
Den absolut størst tænkelige enhedspris
(pessimistisk)]])/5</f>
        <v>0</v>
      </c>
      <c r="J37" s="98">
        <f>Tabel_4.2_SK[[#This Row],[Mængde]]*(Tabel_4.2_SK[[#This Row],[c. 
Den absolut størst tænkelige enhedspris
(pessimistisk)]]
-Tabel_4.2_SK[[#This Row],[a. 
Den absolut mindste enhedspris, der forekommer mulig
(Optimistisk)]])/5</f>
        <v>0</v>
      </c>
      <c r="K37" s="99">
        <f>Tabel_4.2_SK[[#This Row],[s.
spredningen
(standardafvigelsen)]]^2*0.000001</f>
        <v>0</v>
      </c>
    </row>
    <row r="38" spans="2:11" x14ac:dyDescent="0.25">
      <c r="B38" s="91"/>
      <c r="C38" s="92"/>
      <c r="D38" s="93"/>
      <c r="E38" s="92"/>
      <c r="F38" s="94"/>
      <c r="G38" s="95"/>
      <c r="H38" s="96"/>
      <c r="I38" s="97">
        <f>Tabel_4.2_SK[[#This Row],[Mængde]]*(Tabel_4.2_SK[[#This Row],[a. 
Den absolut mindste enhedspris, der forekommer mulig
(Optimistisk)]]
+3*Tabel_4.2_SK[[#This Row],[b. 
Den mest sandsynlige enhedspris]]
+Tabel_4.2_SK[[#This Row],[c. 
Den absolut størst tænkelige enhedspris
(pessimistisk)]])/5</f>
        <v>0</v>
      </c>
      <c r="J38" s="98">
        <f>Tabel_4.2_SK[[#This Row],[Mængde]]*(Tabel_4.2_SK[[#This Row],[c. 
Den absolut størst tænkelige enhedspris
(pessimistisk)]]
-Tabel_4.2_SK[[#This Row],[a. 
Den absolut mindste enhedspris, der forekommer mulig
(Optimistisk)]])/5</f>
        <v>0</v>
      </c>
      <c r="K38" s="99">
        <f>Tabel_4.2_SK[[#This Row],[s.
spredningen
(standardafvigelsen)]]^2*0.000001</f>
        <v>0</v>
      </c>
    </row>
    <row r="39" spans="2:11" x14ac:dyDescent="0.25">
      <c r="B39" s="7" t="s">
        <v>416</v>
      </c>
      <c r="C39" s="8" t="s">
        <v>217</v>
      </c>
      <c r="D39" s="7"/>
      <c r="E39" s="8"/>
      <c r="F39" s="7"/>
      <c r="G39" s="13"/>
      <c r="H39" s="8"/>
      <c r="I39" s="17">
        <f>SUBTOTAL(109,Tabel_4.2_SK[m.
Den forventede værdi (middelværdi)])</f>
        <v>0</v>
      </c>
      <c r="J39" s="13"/>
      <c r="K39" s="18">
        <f>SUBTOTAL(109,Tabel_4.2_SK[v.
varians (s2x10-7)])</f>
        <v>0</v>
      </c>
    </row>
    <row r="41" spans="2:11" ht="18.75" x14ac:dyDescent="0.3">
      <c r="C41" s="35" t="str">
        <f>HYPERLINK("#Samleark!RangeBudgetStart","Til Samleark")</f>
        <v>Til Samleark</v>
      </c>
      <c r="F41" s="35" t="str">
        <f>HYPERLINK("#Vejledning!RangeVejledningStart","Til Vejledning")</f>
        <v>Til Vejledning</v>
      </c>
    </row>
  </sheetData>
  <mergeCells count="8">
    <mergeCell ref="F27:H27"/>
    <mergeCell ref="I27:K27"/>
    <mergeCell ref="B4:H4"/>
    <mergeCell ref="I4:K4"/>
    <mergeCell ref="F5:H5"/>
    <mergeCell ref="I5:K5"/>
    <mergeCell ref="B26:H26"/>
    <mergeCell ref="I26:K26"/>
  </mergeCells>
  <phoneticPr fontId="20" type="noConversion"/>
  <dataValidations count="1">
    <dataValidation type="decimal" operator="greaterThanOrEqual" allowBlank="1" showInputMessage="1" showErrorMessage="1" errorTitle="Indtast et positivt tal" error="Indtast et tal større end eller lig med 0." sqref="D7:D19 F7:H19 F29:H38 D29:D38" xr:uid="{8D1CE6C6-1E6F-4E17-AEDD-7348CB257772}">
      <formula1>0</formula1>
    </dataValidation>
  </dataValidations>
  <pageMargins left="0.70866141732283472" right="0.70866141732283472" top="0.74803149606299213" bottom="0.74803149606299213" header="0.31496062992125984" footer="0.31496062992125984"/>
  <pageSetup paperSize="9" scale="38" orientation="portrait" cellComments="asDisplayed" r:id="rId1"/>
  <headerFooter>
    <oddHeader>&amp;L&amp;G</oddHeader>
    <oddFooter>&amp;RAU Bygninger
Udarbejdet af: MOSA</oddFooter>
  </headerFooter>
  <legacyDrawingHF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6C9EF-12DA-4789-8D1E-9806B81B56CA}">
  <sheetPr>
    <tabColor theme="9"/>
  </sheetPr>
  <dimension ref="A1:Q15"/>
  <sheetViews>
    <sheetView workbookViewId="0"/>
  </sheetViews>
  <sheetFormatPr defaultRowHeight="15" x14ac:dyDescent="0.25"/>
  <cols>
    <col min="1" max="1" width="6.140625" bestFit="1" customWidth="1"/>
    <col min="2" max="2" width="8.42578125" bestFit="1" customWidth="1"/>
    <col min="3" max="3" width="75.42578125" bestFit="1" customWidth="1"/>
    <col min="4" max="4" width="10.140625" bestFit="1" customWidth="1"/>
    <col min="5" max="5" width="8.42578125" bestFit="1" customWidth="1"/>
    <col min="7" max="7" width="6.140625" bestFit="1" customWidth="1"/>
    <col min="8" max="9" width="14" bestFit="1" customWidth="1"/>
    <col min="10" max="10" width="9.85546875" bestFit="1" customWidth="1"/>
    <col min="11" max="11" width="11.140625" bestFit="1" customWidth="1"/>
    <col min="12" max="12" width="16.28515625" bestFit="1" customWidth="1"/>
    <col min="13" max="13" width="20" bestFit="1" customWidth="1"/>
    <col min="14" max="14" width="20.85546875" bestFit="1" customWidth="1"/>
    <col min="15" max="15" width="20.140625" bestFit="1" customWidth="1"/>
    <col min="16" max="17" width="14.28515625" bestFit="1" customWidth="1"/>
  </cols>
  <sheetData>
    <row r="1" spans="1:17" x14ac:dyDescent="0.25">
      <c r="A1" s="33" t="s">
        <v>313</v>
      </c>
    </row>
    <row r="3" spans="1:17" x14ac:dyDescent="0.25">
      <c r="A3" t="s">
        <v>334</v>
      </c>
      <c r="B3" t="s">
        <v>268</v>
      </c>
      <c r="C3" t="s">
        <v>0</v>
      </c>
      <c r="D3" t="s">
        <v>309</v>
      </c>
      <c r="E3" t="s">
        <v>271</v>
      </c>
      <c r="G3" t="s">
        <v>334</v>
      </c>
      <c r="H3" t="s">
        <v>242</v>
      </c>
      <c r="I3" t="s">
        <v>330</v>
      </c>
      <c r="J3" t="s">
        <v>265</v>
      </c>
      <c r="K3" t="s">
        <v>329</v>
      </c>
      <c r="L3" t="s">
        <v>331</v>
      </c>
      <c r="M3" t="s">
        <v>332</v>
      </c>
      <c r="N3" t="s">
        <v>327</v>
      </c>
      <c r="O3" t="s">
        <v>328</v>
      </c>
      <c r="P3" t="s">
        <v>303</v>
      </c>
      <c r="Q3" t="s">
        <v>333</v>
      </c>
    </row>
    <row r="4" spans="1:17" x14ac:dyDescent="0.25">
      <c r="A4" t="s">
        <v>396</v>
      </c>
      <c r="B4" t="s">
        <v>274</v>
      </c>
      <c r="C4" t="s">
        <v>275</v>
      </c>
      <c r="D4" t="s">
        <v>269</v>
      </c>
      <c r="E4" s="1">
        <v>0</v>
      </c>
      <c r="G4" t="s">
        <v>396</v>
      </c>
      <c r="H4" t="s">
        <v>310</v>
      </c>
      <c r="I4" t="s">
        <v>310</v>
      </c>
      <c r="J4">
        <v>0</v>
      </c>
      <c r="K4" t="s">
        <v>310</v>
      </c>
      <c r="L4" s="59">
        <v>0</v>
      </c>
      <c r="M4" t="s">
        <v>310</v>
      </c>
      <c r="N4" s="59">
        <v>0</v>
      </c>
      <c r="O4" s="59">
        <v>0</v>
      </c>
      <c r="P4">
        <v>0.3</v>
      </c>
      <c r="Q4" t="s">
        <v>310</v>
      </c>
    </row>
    <row r="5" spans="1:17" x14ac:dyDescent="0.25">
      <c r="A5" t="s">
        <v>396</v>
      </c>
      <c r="B5" t="s">
        <v>276</v>
      </c>
      <c r="C5" t="s">
        <v>277</v>
      </c>
      <c r="D5" t="s">
        <v>269</v>
      </c>
      <c r="E5" s="1">
        <v>0</v>
      </c>
    </row>
    <row r="6" spans="1:17" x14ac:dyDescent="0.25">
      <c r="A6" t="s">
        <v>396</v>
      </c>
      <c r="B6" t="s">
        <v>278</v>
      </c>
      <c r="C6" t="s">
        <v>279</v>
      </c>
      <c r="D6" t="s">
        <v>269</v>
      </c>
      <c r="E6" s="1">
        <v>0</v>
      </c>
    </row>
    <row r="7" spans="1:17" x14ac:dyDescent="0.25">
      <c r="A7" t="s">
        <v>396</v>
      </c>
      <c r="B7" t="s">
        <v>285</v>
      </c>
      <c r="C7" t="s">
        <v>290</v>
      </c>
      <c r="D7" t="s">
        <v>269</v>
      </c>
      <c r="E7" s="1">
        <v>0</v>
      </c>
    </row>
    <row r="8" spans="1:17" x14ac:dyDescent="0.25">
      <c r="A8" t="s">
        <v>396</v>
      </c>
      <c r="B8" t="s">
        <v>286</v>
      </c>
      <c r="C8" t="s">
        <v>291</v>
      </c>
      <c r="D8" t="s">
        <v>269</v>
      </c>
      <c r="E8" s="1">
        <v>0</v>
      </c>
    </row>
    <row r="9" spans="1:17" x14ac:dyDescent="0.25">
      <c r="A9" t="s">
        <v>396</v>
      </c>
      <c r="B9" t="s">
        <v>287</v>
      </c>
      <c r="C9" t="s">
        <v>292</v>
      </c>
      <c r="D9" t="s">
        <v>269</v>
      </c>
      <c r="E9" s="1">
        <v>0</v>
      </c>
    </row>
    <row r="10" spans="1:17" x14ac:dyDescent="0.25">
      <c r="A10" t="s">
        <v>396</v>
      </c>
      <c r="B10" t="s">
        <v>288</v>
      </c>
      <c r="C10" t="s">
        <v>293</v>
      </c>
      <c r="D10" t="s">
        <v>269</v>
      </c>
      <c r="E10" s="1">
        <v>0</v>
      </c>
    </row>
    <row r="11" spans="1:17" x14ac:dyDescent="0.25">
      <c r="A11" t="s">
        <v>396</v>
      </c>
      <c r="B11" t="s">
        <v>289</v>
      </c>
      <c r="C11" t="s">
        <v>294</v>
      </c>
      <c r="D11" t="s">
        <v>269</v>
      </c>
      <c r="E11" s="1">
        <v>0</v>
      </c>
    </row>
    <row r="12" spans="1:17" x14ac:dyDescent="0.25">
      <c r="A12" t="s">
        <v>396</v>
      </c>
      <c r="B12" t="s">
        <v>319</v>
      </c>
      <c r="C12" t="s">
        <v>321</v>
      </c>
      <c r="D12" t="s">
        <v>269</v>
      </c>
      <c r="E12" s="1">
        <v>0</v>
      </c>
    </row>
    <row r="13" spans="1:17" x14ac:dyDescent="0.25">
      <c r="A13" t="s">
        <v>396</v>
      </c>
      <c r="B13" t="s">
        <v>320</v>
      </c>
      <c r="C13" t="s">
        <v>322</v>
      </c>
      <c r="D13" t="s">
        <v>269</v>
      </c>
      <c r="E13" s="1">
        <v>0</v>
      </c>
    </row>
    <row r="14" spans="1:17" x14ac:dyDescent="0.25">
      <c r="A14" t="s">
        <v>396</v>
      </c>
      <c r="B14" t="s">
        <v>310</v>
      </c>
      <c r="C14" t="s">
        <v>304</v>
      </c>
      <c r="D14" t="s">
        <v>269</v>
      </c>
      <c r="E14" s="1">
        <v>0</v>
      </c>
    </row>
    <row r="15" spans="1:17" x14ac:dyDescent="0.25">
      <c r="A15" t="s">
        <v>311</v>
      </c>
      <c r="E15" s="1">
        <f>SUBTOTAL(109,Data_samlet[Beløb])</f>
        <v>0</v>
      </c>
    </row>
  </sheetData>
  <pageMargins left="0.7" right="0.7" top="0.75" bottom="0.75" header="0.3" footer="0.3"/>
  <pageSetup paperSize="9" orientation="portrait" r:id="rId1"/>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6D639-E22E-4D95-8588-DD839BDC0138}">
  <sheetPr>
    <tabColor theme="5" tint="0.79998168889431442"/>
  </sheetPr>
  <dimension ref="A1:E20"/>
  <sheetViews>
    <sheetView workbookViewId="0"/>
  </sheetViews>
  <sheetFormatPr defaultRowHeight="15" x14ac:dyDescent="0.25"/>
  <cols>
    <col min="1" max="1" width="14.28515625" bestFit="1" customWidth="1"/>
    <col min="2" max="2" width="8.42578125" bestFit="1" customWidth="1"/>
    <col min="3" max="3" width="75.28515625" bestFit="1" customWidth="1"/>
    <col min="4" max="5" width="12.85546875" bestFit="1" customWidth="1"/>
  </cols>
  <sheetData>
    <row r="1" spans="1:5" x14ac:dyDescent="0.25">
      <c r="A1" s="33" t="s">
        <v>318</v>
      </c>
    </row>
    <row r="5" spans="1:5" x14ac:dyDescent="0.25">
      <c r="A5" s="61" t="s">
        <v>312</v>
      </c>
      <c r="B5" s="61" t="s">
        <v>268</v>
      </c>
      <c r="C5" s="61" t="s">
        <v>315</v>
      </c>
      <c r="D5" s="61" t="s">
        <v>267</v>
      </c>
      <c r="E5" t="s">
        <v>314</v>
      </c>
    </row>
    <row r="6" spans="1:5" x14ac:dyDescent="0.25">
      <c r="A6" t="s">
        <v>399</v>
      </c>
      <c r="B6" t="s">
        <v>310</v>
      </c>
      <c r="C6" t="s">
        <v>304</v>
      </c>
      <c r="D6" t="s">
        <v>310</v>
      </c>
      <c r="E6" s="89">
        <v>0</v>
      </c>
    </row>
    <row r="7" spans="1:5" x14ac:dyDescent="0.25">
      <c r="A7" t="s">
        <v>400</v>
      </c>
      <c r="E7" s="89">
        <v>0</v>
      </c>
    </row>
    <row r="8" spans="1:5" x14ac:dyDescent="0.25">
      <c r="A8">
        <v>3</v>
      </c>
      <c r="B8" t="s">
        <v>274</v>
      </c>
      <c r="C8" t="s">
        <v>275</v>
      </c>
      <c r="D8" t="s">
        <v>310</v>
      </c>
      <c r="E8" s="89">
        <v>0</v>
      </c>
    </row>
    <row r="9" spans="1:5" x14ac:dyDescent="0.25">
      <c r="B9" t="s">
        <v>276</v>
      </c>
      <c r="C9" t="s">
        <v>277</v>
      </c>
      <c r="D9" t="s">
        <v>310</v>
      </c>
      <c r="E9" s="89">
        <v>0</v>
      </c>
    </row>
    <row r="10" spans="1:5" x14ac:dyDescent="0.25">
      <c r="B10" t="s">
        <v>278</v>
      </c>
      <c r="C10" t="s">
        <v>279</v>
      </c>
      <c r="D10" t="s">
        <v>310</v>
      </c>
      <c r="E10" s="89">
        <v>0</v>
      </c>
    </row>
    <row r="11" spans="1:5" x14ac:dyDescent="0.25">
      <c r="A11" t="s">
        <v>316</v>
      </c>
      <c r="E11" s="89">
        <v>0</v>
      </c>
    </row>
    <row r="12" spans="1:5" x14ac:dyDescent="0.25">
      <c r="A12">
        <v>6</v>
      </c>
      <c r="B12" t="s">
        <v>285</v>
      </c>
      <c r="C12" t="s">
        <v>290</v>
      </c>
      <c r="D12" t="s">
        <v>310</v>
      </c>
      <c r="E12" s="89">
        <v>0</v>
      </c>
    </row>
    <row r="13" spans="1:5" x14ac:dyDescent="0.25">
      <c r="B13" t="s">
        <v>286</v>
      </c>
      <c r="C13" t="s">
        <v>291</v>
      </c>
      <c r="D13" t="s">
        <v>310</v>
      </c>
      <c r="E13" s="89">
        <v>0</v>
      </c>
    </row>
    <row r="14" spans="1:5" x14ac:dyDescent="0.25">
      <c r="B14" t="s">
        <v>287</v>
      </c>
      <c r="C14" t="s">
        <v>292</v>
      </c>
      <c r="D14" t="s">
        <v>310</v>
      </c>
      <c r="E14" s="89">
        <v>0</v>
      </c>
    </row>
    <row r="15" spans="1:5" x14ac:dyDescent="0.25">
      <c r="B15" t="s">
        <v>288</v>
      </c>
      <c r="C15" t="s">
        <v>293</v>
      </c>
      <c r="D15" t="s">
        <v>310</v>
      </c>
      <c r="E15" s="89">
        <v>0</v>
      </c>
    </row>
    <row r="16" spans="1:5" x14ac:dyDescent="0.25">
      <c r="B16" t="s">
        <v>289</v>
      </c>
      <c r="C16" t="s">
        <v>294</v>
      </c>
      <c r="D16" t="s">
        <v>310</v>
      </c>
      <c r="E16" s="89">
        <v>0</v>
      </c>
    </row>
    <row r="17" spans="1:5" x14ac:dyDescent="0.25">
      <c r="B17" t="s">
        <v>319</v>
      </c>
      <c r="C17" t="s">
        <v>321</v>
      </c>
      <c r="D17" t="s">
        <v>310</v>
      </c>
      <c r="E17" s="89">
        <v>0</v>
      </c>
    </row>
    <row r="18" spans="1:5" x14ac:dyDescent="0.25">
      <c r="B18" t="s">
        <v>320</v>
      </c>
      <c r="C18" t="s">
        <v>322</v>
      </c>
      <c r="D18" t="s">
        <v>310</v>
      </c>
      <c r="E18" s="89">
        <v>0</v>
      </c>
    </row>
    <row r="19" spans="1:5" x14ac:dyDescent="0.25">
      <c r="A19" t="s">
        <v>317</v>
      </c>
      <c r="E19" s="89">
        <v>0</v>
      </c>
    </row>
    <row r="20" spans="1:5" x14ac:dyDescent="0.25">
      <c r="A20" t="s">
        <v>401</v>
      </c>
      <c r="E20" s="89">
        <v>0</v>
      </c>
    </row>
  </sheetData>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1F081-5F96-4CBF-8295-E135544F78F3}">
  <sheetPr>
    <tabColor theme="2" tint="-9.9978637043366805E-2"/>
  </sheetPr>
  <dimension ref="A2:L32"/>
  <sheetViews>
    <sheetView showGridLines="0" zoomScaleNormal="100" workbookViewId="0">
      <selection activeCell="C50" sqref="C50"/>
    </sheetView>
  </sheetViews>
  <sheetFormatPr defaultColWidth="0" defaultRowHeight="15" x14ac:dyDescent="0.25"/>
  <cols>
    <col min="1" max="1" width="2.7109375" customWidth="1"/>
    <col min="2" max="2" width="7.5703125" bestFit="1" customWidth="1"/>
    <col min="3" max="3" width="51" bestFit="1" customWidth="1"/>
    <col min="4" max="4" width="10.85546875" customWidth="1"/>
    <col min="5" max="5" width="9.140625" customWidth="1"/>
    <col min="6" max="8" width="26.7109375" customWidth="1"/>
    <col min="9" max="11" width="20.7109375" customWidth="1"/>
    <col min="12" max="12" width="2.7109375" customWidth="1"/>
    <col min="13" max="16384" width="9.140625" hidden="1"/>
  </cols>
  <sheetData>
    <row r="2" spans="2:11" ht="20.25" thickBot="1" x14ac:dyDescent="0.35">
      <c r="B2" s="31"/>
      <c r="C2" s="31" t="s">
        <v>373</v>
      </c>
      <c r="D2" s="31"/>
      <c r="E2" s="31"/>
      <c r="F2" s="31"/>
      <c r="G2" s="31"/>
      <c r="H2" s="31"/>
      <c r="I2" s="31"/>
      <c r="J2" s="31"/>
      <c r="K2" s="31"/>
    </row>
    <row r="3" spans="2:11" ht="15.75" thickTop="1" x14ac:dyDescent="0.25"/>
    <row r="4" spans="2:11" x14ac:dyDescent="0.25">
      <c r="B4" s="114" t="s">
        <v>6</v>
      </c>
      <c r="C4" s="115"/>
      <c r="D4" s="115"/>
      <c r="E4" s="115"/>
      <c r="F4" s="115"/>
      <c r="G4" s="115"/>
      <c r="H4" s="115"/>
      <c r="I4" s="116" t="s">
        <v>7</v>
      </c>
      <c r="J4" s="117"/>
      <c r="K4" s="118"/>
    </row>
    <row r="5" spans="2:11" x14ac:dyDescent="0.25">
      <c r="B5" s="3"/>
      <c r="C5" s="4"/>
      <c r="D5" s="3"/>
      <c r="E5" s="4"/>
      <c r="F5" s="109" t="s">
        <v>30</v>
      </c>
      <c r="G5" s="110"/>
      <c r="H5" s="111"/>
      <c r="I5" s="112" t="s">
        <v>31</v>
      </c>
      <c r="J5" s="112"/>
      <c r="K5" s="113"/>
    </row>
    <row r="6" spans="2:11" ht="75" x14ac:dyDescent="0.25">
      <c r="B6" s="5" t="s">
        <v>268</v>
      </c>
      <c r="C6" s="6" t="s">
        <v>0</v>
      </c>
      <c r="D6" s="5" t="s">
        <v>1</v>
      </c>
      <c r="E6" s="6" t="s">
        <v>2</v>
      </c>
      <c r="F6" s="9" t="s">
        <v>27</v>
      </c>
      <c r="G6" s="2" t="s">
        <v>28</v>
      </c>
      <c r="H6" s="10" t="s">
        <v>29</v>
      </c>
      <c r="I6" s="14" t="s">
        <v>3</v>
      </c>
      <c r="J6" s="15" t="s">
        <v>4</v>
      </c>
      <c r="K6" s="16" t="s">
        <v>5</v>
      </c>
    </row>
    <row r="7" spans="2:11" x14ac:dyDescent="0.25">
      <c r="B7" s="19">
        <v>1</v>
      </c>
      <c r="C7" s="20" t="s">
        <v>362</v>
      </c>
      <c r="D7" s="21">
        <v>1</v>
      </c>
      <c r="E7" s="20" t="s">
        <v>363</v>
      </c>
      <c r="F7" s="22">
        <v>37500</v>
      </c>
      <c r="G7" s="23">
        <v>187500</v>
      </c>
      <c r="H7" s="24">
        <v>450000</v>
      </c>
      <c r="I7" s="11">
        <f>Tabel_SKeksempel[[#This Row],[Mængde]]*(Tabel_SKeksempel[[#This Row],[a. 
Den absolut mindste enhedspris, der forekommer mulig
(Optimistisk)]]
+3*Tabel_SKeksempel[[#This Row],[b. 
Den mest sandsynlige enhedspris]]
+Tabel_SKeksempel[[#This Row],[c. 
Den absolut størst tænkelige enhedspris
(pessimistisk)]])/5</f>
        <v>210000</v>
      </c>
      <c r="J7" s="1">
        <f>Tabel_SKeksempel[[#This Row],[Mængde]]*(Tabel_SKeksempel[[#This Row],[c. 
Den absolut størst tænkelige enhedspris
(pessimistisk)]]
-Tabel_SKeksempel[[#This Row],[a. 
Den absolut mindste enhedspris, der forekommer mulig
(Optimistisk)]])/5</f>
        <v>82500</v>
      </c>
      <c r="K7" s="12">
        <f>Tabel_SKeksempel[[#This Row],[s.
spredningen
(standardafvigelsen)]]^2*0.000001</f>
        <v>6806.25</v>
      </c>
    </row>
    <row r="8" spans="2:11" x14ac:dyDescent="0.25">
      <c r="B8" s="19">
        <v>2</v>
      </c>
      <c r="C8" s="20" t="s">
        <v>364</v>
      </c>
      <c r="D8" s="21">
        <v>50000</v>
      </c>
      <c r="E8" s="20" t="s">
        <v>24</v>
      </c>
      <c r="F8" s="22">
        <v>30</v>
      </c>
      <c r="G8" s="23">
        <v>75</v>
      </c>
      <c r="H8" s="24">
        <v>120</v>
      </c>
      <c r="I8" s="11">
        <f>Tabel_SKeksempel[[#This Row],[Mængde]]*(Tabel_SKeksempel[[#This Row],[a. 
Den absolut mindste enhedspris, der forekommer mulig
(Optimistisk)]]
+3*Tabel_SKeksempel[[#This Row],[b. 
Den mest sandsynlige enhedspris]]
+Tabel_SKeksempel[[#This Row],[c. 
Den absolut størst tænkelige enhedspris
(pessimistisk)]])/5</f>
        <v>3750000</v>
      </c>
      <c r="J8" s="1">
        <f>Tabel_SKeksempel[[#This Row],[Mængde]]*(Tabel_SKeksempel[[#This Row],[c. 
Den absolut størst tænkelige enhedspris
(pessimistisk)]]
-Tabel_SKeksempel[[#This Row],[a. 
Den absolut mindste enhedspris, der forekommer mulig
(Optimistisk)]])/5</f>
        <v>900000</v>
      </c>
      <c r="K8" s="12">
        <f>Tabel_SKeksempel[[#This Row],[s.
spredningen
(standardafvigelsen)]]^2*0.000001</f>
        <v>810000</v>
      </c>
    </row>
    <row r="9" spans="2:11" x14ac:dyDescent="0.25">
      <c r="B9" s="19">
        <v>3</v>
      </c>
      <c r="C9" s="20" t="s">
        <v>365</v>
      </c>
      <c r="D9" s="21">
        <v>25000</v>
      </c>
      <c r="E9" s="20" t="s">
        <v>24</v>
      </c>
      <c r="F9" s="22">
        <v>7.5</v>
      </c>
      <c r="G9" s="23">
        <v>15</v>
      </c>
      <c r="H9" s="24">
        <v>30</v>
      </c>
      <c r="I9" s="11">
        <f>Tabel_SKeksempel[[#This Row],[Mængde]]*(Tabel_SKeksempel[[#This Row],[a. 
Den absolut mindste enhedspris, der forekommer mulig
(Optimistisk)]]
+3*Tabel_SKeksempel[[#This Row],[b. 
Den mest sandsynlige enhedspris]]
+Tabel_SKeksempel[[#This Row],[c. 
Den absolut størst tænkelige enhedspris
(pessimistisk)]])/5</f>
        <v>412500</v>
      </c>
      <c r="J9" s="1">
        <f>Tabel_SKeksempel[[#This Row],[Mængde]]*(Tabel_SKeksempel[[#This Row],[c. 
Den absolut størst tænkelige enhedspris
(pessimistisk)]]
-Tabel_SKeksempel[[#This Row],[a. 
Den absolut mindste enhedspris, der forekommer mulig
(Optimistisk)]])/5</f>
        <v>112500</v>
      </c>
      <c r="K9" s="12">
        <f>Tabel_SKeksempel[[#This Row],[s.
spredningen
(standardafvigelsen)]]^2*0.000001</f>
        <v>12656.25</v>
      </c>
    </row>
    <row r="10" spans="2:11" x14ac:dyDescent="0.25">
      <c r="B10" s="19">
        <v>4</v>
      </c>
      <c r="C10" s="20" t="s">
        <v>366</v>
      </c>
      <c r="D10" s="21">
        <v>20000</v>
      </c>
      <c r="E10" s="20" t="s">
        <v>24</v>
      </c>
      <c r="F10" s="22">
        <v>7.5</v>
      </c>
      <c r="G10" s="23">
        <v>22.5</v>
      </c>
      <c r="H10" s="24">
        <v>60</v>
      </c>
      <c r="I10" s="11">
        <f>Tabel_SKeksempel[[#This Row],[Mængde]]*(Tabel_SKeksempel[[#This Row],[a. 
Den absolut mindste enhedspris, der forekommer mulig
(Optimistisk)]]
+3*Tabel_SKeksempel[[#This Row],[b. 
Den mest sandsynlige enhedspris]]
+Tabel_SKeksempel[[#This Row],[c. 
Den absolut størst tænkelige enhedspris
(pessimistisk)]])/5</f>
        <v>540000</v>
      </c>
      <c r="J10" s="1">
        <f>Tabel_SKeksempel[[#This Row],[Mængde]]*(Tabel_SKeksempel[[#This Row],[c. 
Den absolut størst tænkelige enhedspris
(pessimistisk)]]
-Tabel_SKeksempel[[#This Row],[a. 
Den absolut mindste enhedspris, der forekommer mulig
(Optimistisk)]])/5</f>
        <v>210000</v>
      </c>
      <c r="K10" s="12">
        <f>Tabel_SKeksempel[[#This Row],[s.
spredningen
(standardafvigelsen)]]^2*0.000001</f>
        <v>44100</v>
      </c>
    </row>
    <row r="11" spans="2:11" x14ac:dyDescent="0.25">
      <c r="B11" s="19">
        <v>5</v>
      </c>
      <c r="C11" s="20" t="s">
        <v>367</v>
      </c>
      <c r="D11" s="21">
        <v>15000</v>
      </c>
      <c r="E11" s="20" t="s">
        <v>24</v>
      </c>
      <c r="F11" s="22">
        <v>90</v>
      </c>
      <c r="G11" s="23">
        <v>225</v>
      </c>
      <c r="H11" s="24">
        <v>330</v>
      </c>
      <c r="I11" s="11">
        <f>Tabel_SKeksempel[[#This Row],[Mængde]]*(Tabel_SKeksempel[[#This Row],[a. 
Den absolut mindste enhedspris, der forekommer mulig
(Optimistisk)]]
+3*Tabel_SKeksempel[[#This Row],[b. 
Den mest sandsynlige enhedspris]]
+Tabel_SKeksempel[[#This Row],[c. 
Den absolut størst tænkelige enhedspris
(pessimistisk)]])/5</f>
        <v>3285000</v>
      </c>
      <c r="J11" s="1">
        <f>Tabel_SKeksempel[[#This Row],[Mængde]]*(Tabel_SKeksempel[[#This Row],[c. 
Den absolut størst tænkelige enhedspris
(pessimistisk)]]
-Tabel_SKeksempel[[#This Row],[a. 
Den absolut mindste enhedspris, der forekommer mulig
(Optimistisk)]])/5</f>
        <v>720000</v>
      </c>
      <c r="K11" s="12">
        <f>Tabel_SKeksempel[[#This Row],[s.
spredningen
(standardafvigelsen)]]^2*0.000001</f>
        <v>518400</v>
      </c>
    </row>
    <row r="12" spans="2:11" x14ac:dyDescent="0.25">
      <c r="B12" s="19">
        <v>6</v>
      </c>
      <c r="C12" s="20" t="s">
        <v>368</v>
      </c>
      <c r="D12" s="21">
        <v>1</v>
      </c>
      <c r="E12" s="20" t="s">
        <v>363</v>
      </c>
      <c r="F12" s="22">
        <v>37500</v>
      </c>
      <c r="G12" s="23">
        <v>150000</v>
      </c>
      <c r="H12" s="24">
        <v>375000</v>
      </c>
      <c r="I12" s="11">
        <f>Tabel_SKeksempel[[#This Row],[Mængde]]*(Tabel_SKeksempel[[#This Row],[a. 
Den absolut mindste enhedspris, der forekommer mulig
(Optimistisk)]]
+3*Tabel_SKeksempel[[#This Row],[b. 
Den mest sandsynlige enhedspris]]
+Tabel_SKeksempel[[#This Row],[c. 
Den absolut størst tænkelige enhedspris
(pessimistisk)]])/5</f>
        <v>172500</v>
      </c>
      <c r="J12" s="1">
        <f>Tabel_SKeksempel[[#This Row],[Mængde]]*(Tabel_SKeksempel[[#This Row],[c. 
Den absolut størst tænkelige enhedspris
(pessimistisk)]]
-Tabel_SKeksempel[[#This Row],[a. 
Den absolut mindste enhedspris, der forekommer mulig
(Optimistisk)]])/5</f>
        <v>67500</v>
      </c>
      <c r="K12" s="12">
        <f>Tabel_SKeksempel[[#This Row],[s.
spredningen
(standardafvigelsen)]]^2*0.000001</f>
        <v>4556.25</v>
      </c>
    </row>
    <row r="13" spans="2:11" x14ac:dyDescent="0.25">
      <c r="B13" s="19">
        <v>7</v>
      </c>
      <c r="C13" s="20" t="s">
        <v>369</v>
      </c>
      <c r="D13" s="21">
        <v>8370000</v>
      </c>
      <c r="E13" s="20" t="s">
        <v>370</v>
      </c>
      <c r="F13" s="22">
        <v>-0.1</v>
      </c>
      <c r="G13" s="23">
        <v>0</v>
      </c>
      <c r="H13" s="24">
        <v>0.2</v>
      </c>
      <c r="I13" s="11">
        <f>Tabel_SKeksempel[[#This Row],[Mængde]]*(Tabel_SKeksempel[[#This Row],[a. 
Den absolut mindste enhedspris, der forekommer mulig
(Optimistisk)]]
+3*Tabel_SKeksempel[[#This Row],[b. 
Den mest sandsynlige enhedspris]]
+Tabel_SKeksempel[[#This Row],[c. 
Den absolut størst tænkelige enhedspris
(pessimistisk)]])/5</f>
        <v>167400</v>
      </c>
      <c r="J13" s="1">
        <f>Tabel_SKeksempel[[#This Row],[Mængde]]*(Tabel_SKeksempel[[#This Row],[c. 
Den absolut størst tænkelige enhedspris
(pessimistisk)]]
-Tabel_SKeksempel[[#This Row],[a. 
Den absolut mindste enhedspris, der forekommer mulig
(Optimistisk)]])/5</f>
        <v>502200.00000000012</v>
      </c>
      <c r="K13" s="12">
        <f>Tabel_SKeksempel[[#This Row],[s.
spredningen
(standardafvigelsen)]]^2*0.000001</f>
        <v>252204.84000000011</v>
      </c>
    </row>
    <row r="14" spans="2:11" x14ac:dyDescent="0.25">
      <c r="B14" s="19"/>
      <c r="C14" s="20"/>
      <c r="D14" s="21"/>
      <c r="E14" s="20"/>
      <c r="F14" s="22"/>
      <c r="G14" s="23"/>
      <c r="H14" s="24"/>
      <c r="I14" s="11">
        <f>Tabel_SKeksempel[[#This Row],[Mængde]]*(Tabel_SKeksempel[[#This Row],[a. 
Den absolut mindste enhedspris, der forekommer mulig
(Optimistisk)]]
+3*Tabel_SKeksempel[[#This Row],[b. 
Den mest sandsynlige enhedspris]]
+Tabel_SKeksempel[[#This Row],[c. 
Den absolut størst tænkelige enhedspris
(pessimistisk)]])/5</f>
        <v>0</v>
      </c>
      <c r="J14" s="1">
        <f>Tabel_SKeksempel[[#This Row],[Mængde]]*(Tabel_SKeksempel[[#This Row],[c. 
Den absolut størst tænkelige enhedspris
(pessimistisk)]]
-Tabel_SKeksempel[[#This Row],[a. 
Den absolut mindste enhedspris, der forekommer mulig
(Optimistisk)]])/5</f>
        <v>0</v>
      </c>
      <c r="K14" s="12">
        <f>Tabel_SKeksempel[[#This Row],[s.
spredningen
(standardafvigelsen)]]^2*0.000001</f>
        <v>0</v>
      </c>
    </row>
    <row r="15" spans="2:11" x14ac:dyDescent="0.25">
      <c r="B15" s="19"/>
      <c r="C15" s="20"/>
      <c r="D15" s="21"/>
      <c r="E15" s="20"/>
      <c r="F15" s="22"/>
      <c r="G15" s="23"/>
      <c r="H15" s="24"/>
      <c r="I15" s="11">
        <f>Tabel_SKeksempel[[#This Row],[Mængde]]*(Tabel_SKeksempel[[#This Row],[a. 
Den absolut mindste enhedspris, der forekommer mulig
(Optimistisk)]]
+3*Tabel_SKeksempel[[#This Row],[b. 
Den mest sandsynlige enhedspris]]
+Tabel_SKeksempel[[#This Row],[c. 
Den absolut størst tænkelige enhedspris
(pessimistisk)]])/5</f>
        <v>0</v>
      </c>
      <c r="J15" s="1">
        <f>Tabel_SKeksempel[[#This Row],[Mængde]]*(Tabel_SKeksempel[[#This Row],[c. 
Den absolut størst tænkelige enhedspris
(pessimistisk)]]
-Tabel_SKeksempel[[#This Row],[a. 
Den absolut mindste enhedspris, der forekommer mulig
(Optimistisk)]])/5</f>
        <v>0</v>
      </c>
      <c r="K15" s="12">
        <f>Tabel_SKeksempel[[#This Row],[s.
spredningen
(standardafvigelsen)]]^2*0.000001</f>
        <v>0</v>
      </c>
    </row>
    <row r="16" spans="2:11" x14ac:dyDescent="0.25">
      <c r="B16" s="7"/>
      <c r="C16" s="8" t="s">
        <v>371</v>
      </c>
      <c r="D16" s="7"/>
      <c r="E16" s="8"/>
      <c r="F16" s="7"/>
      <c r="G16" s="13"/>
      <c r="H16" s="8"/>
      <c r="I16" s="17">
        <f>SUBTOTAL(109,Tabel_SKeksempel[m.
Den forventede værdi (middelværdi)])</f>
        <v>8537400</v>
      </c>
      <c r="J16" s="13"/>
      <c r="K16" s="18">
        <f>SUBTOTAL(109,Tabel_SKeksempel[v.
varians (s2x10-7)])</f>
        <v>1648723.59</v>
      </c>
    </row>
    <row r="18" spans="2:10" x14ac:dyDescent="0.25">
      <c r="C18" s="33" t="s">
        <v>372</v>
      </c>
      <c r="D18" s="33"/>
      <c r="E18" s="33"/>
      <c r="F18" s="33"/>
      <c r="G18" s="33"/>
      <c r="H18" s="33"/>
      <c r="I18" s="36">
        <f>SQRT(SUMPRODUCT(Tabel_SKeksempel[s.
spredningen
(standardafvigelsen)],Tabel_SKeksempel[s.
spredningen
(standardafvigelsen)]))</f>
        <v>1284026.3198237021</v>
      </c>
      <c r="J18" s="78">
        <f>I18/Tabel_SKeksempel[[#Totals],[m.
Den forventede værdi (middelværdi)]]</f>
        <v>0.15040015927843395</v>
      </c>
    </row>
    <row r="19" spans="2:10" x14ac:dyDescent="0.25">
      <c r="I19" s="1"/>
      <c r="J19" s="60"/>
    </row>
    <row r="20" spans="2:10" x14ac:dyDescent="0.25">
      <c r="B20" s="79" t="s">
        <v>374</v>
      </c>
      <c r="C20" s="80"/>
      <c r="D20" s="80"/>
      <c r="E20" s="80"/>
      <c r="F20" s="80"/>
      <c r="G20" s="80"/>
      <c r="H20" s="80"/>
      <c r="J20" s="60"/>
    </row>
    <row r="21" spans="2:10" x14ac:dyDescent="0.25">
      <c r="B21" s="79" t="s">
        <v>375</v>
      </c>
      <c r="C21" s="80"/>
      <c r="D21" s="80"/>
      <c r="E21" s="80"/>
      <c r="F21" s="80"/>
      <c r="G21" s="80"/>
      <c r="H21" s="80"/>
      <c r="J21" s="60"/>
    </row>
    <row r="22" spans="2:10" x14ac:dyDescent="0.25">
      <c r="B22" s="80"/>
      <c r="C22" s="80"/>
      <c r="D22" s="80"/>
      <c r="E22" s="80"/>
      <c r="F22" s="80"/>
      <c r="G22" s="80"/>
      <c r="H22" s="80"/>
      <c r="J22" s="60"/>
    </row>
    <row r="23" spans="2:10" x14ac:dyDescent="0.25">
      <c r="B23" s="80"/>
      <c r="C23" s="81" t="s">
        <v>376</v>
      </c>
      <c r="D23" s="80"/>
      <c r="E23" s="80"/>
      <c r="F23" s="80"/>
      <c r="G23" s="80"/>
      <c r="H23" s="80"/>
      <c r="J23" s="60"/>
    </row>
    <row r="24" spans="2:10" x14ac:dyDescent="0.25">
      <c r="B24" s="80"/>
      <c r="C24" s="82" t="s">
        <v>377</v>
      </c>
      <c r="D24" s="83"/>
      <c r="E24" s="84"/>
      <c r="F24" s="85">
        <f>Tabel_SKeksempel[[#Totals],[m.
Den forventede værdi (middelværdi)]]-$I$18</f>
        <v>7253373.6801762981</v>
      </c>
      <c r="G24" s="86" t="s">
        <v>378</v>
      </c>
      <c r="H24" s="85">
        <f>Tabel_SKeksempel[[#Totals],[m.
Den forventede værdi (middelværdi)]]+$I$18</f>
        <v>9821426.3198237028</v>
      </c>
      <c r="J24" s="60"/>
    </row>
    <row r="25" spans="2:10" x14ac:dyDescent="0.25">
      <c r="B25" s="80"/>
      <c r="C25" s="82" t="s">
        <v>379</v>
      </c>
      <c r="D25" s="83"/>
      <c r="E25" s="84"/>
      <c r="F25" s="85">
        <f>Tabel_SKeksempel[[#Totals],[m.
Den forventede værdi (middelværdi)]]-2*$I$18</f>
        <v>5969347.3603525963</v>
      </c>
      <c r="G25" s="86" t="s">
        <v>378</v>
      </c>
      <c r="H25" s="85">
        <f>Tabel_SKeksempel[[#Totals],[m.
Den forventede værdi (middelværdi)]]+2*$I$18</f>
        <v>11105452.639647404</v>
      </c>
      <c r="J25" s="60"/>
    </row>
    <row r="26" spans="2:10" x14ac:dyDescent="0.25">
      <c r="B26" s="80"/>
      <c r="C26" s="82" t="s">
        <v>380</v>
      </c>
      <c r="D26" s="83"/>
      <c r="E26" s="84"/>
      <c r="F26" s="85">
        <f>Tabel_SKeksempel[[#Totals],[m.
Den forventede værdi (middelværdi)]]-3*$I$18</f>
        <v>4685321.0405288935</v>
      </c>
      <c r="G26" s="86" t="s">
        <v>378</v>
      </c>
      <c r="H26" s="85">
        <f>Tabel_SKeksempel[[#Totals],[m.
Den forventede værdi (middelværdi)]]+3*$I$18</f>
        <v>12389478.959471107</v>
      </c>
      <c r="J26" s="60"/>
    </row>
    <row r="27" spans="2:10" x14ac:dyDescent="0.25">
      <c r="I27" s="1"/>
      <c r="J27" s="60"/>
    </row>
    <row r="28" spans="2:10" x14ac:dyDescent="0.25">
      <c r="B28" t="s">
        <v>381</v>
      </c>
      <c r="I28" s="1"/>
      <c r="J28" s="60"/>
    </row>
    <row r="29" spans="2:10" x14ac:dyDescent="0.25">
      <c r="B29" t="s">
        <v>382</v>
      </c>
      <c r="I29" s="1"/>
      <c r="J29" s="60"/>
    </row>
    <row r="30" spans="2:10" x14ac:dyDescent="0.25">
      <c r="I30" s="1"/>
      <c r="J30" s="60"/>
    </row>
    <row r="32" spans="2:10" ht="18.75" x14ac:dyDescent="0.3">
      <c r="C32" s="35" t="str">
        <f>HYPERLINK("#Samleark!RangeBudgetStart","Til Samleark")</f>
        <v>Til Samleark</v>
      </c>
      <c r="F32" s="35" t="str">
        <f>HYPERLINK("#Vejledning!RangeVejledningStart","Til Vejledning")</f>
        <v>Til Vejledning</v>
      </c>
    </row>
  </sheetData>
  <mergeCells count="4">
    <mergeCell ref="B4:H4"/>
    <mergeCell ref="I4:K4"/>
    <mergeCell ref="F5:H5"/>
    <mergeCell ref="I5:K5"/>
  </mergeCells>
  <dataValidations disablePrompts="1" count="1">
    <dataValidation type="decimal" operator="greaterThanOrEqual" allowBlank="1" showInputMessage="1" showErrorMessage="1" errorTitle="Indtast et positivt tal" error="Indtast et tal større end eller lig med 0." sqref="D7:D15 F7:H15" xr:uid="{4CD743F9-1748-4137-A852-AD6743420CFE}">
      <formula1>0</formula1>
    </dataValidation>
  </dataValidations>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F9340-0BE8-4853-97C6-9E76A4862073}">
  <sheetPr>
    <tabColor theme="2" tint="-9.9978637043366805E-2"/>
  </sheetPr>
  <dimension ref="B1:B22"/>
  <sheetViews>
    <sheetView workbookViewId="0"/>
  </sheetViews>
  <sheetFormatPr defaultRowHeight="15" x14ac:dyDescent="0.25"/>
  <cols>
    <col min="2" max="2" width="138.28515625" customWidth="1"/>
  </cols>
  <sheetData>
    <row r="1" spans="2:2" x14ac:dyDescent="0.25">
      <c r="B1" s="87" t="s">
        <v>383</v>
      </c>
    </row>
    <row r="2" spans="2:2" ht="30" x14ac:dyDescent="0.25">
      <c r="B2" s="2" t="s">
        <v>384</v>
      </c>
    </row>
    <row r="3" spans="2:2" x14ac:dyDescent="0.25">
      <c r="B3" s="2"/>
    </row>
    <row r="4" spans="2:2" ht="30" x14ac:dyDescent="0.25">
      <c r="B4" s="2" t="s">
        <v>385</v>
      </c>
    </row>
    <row r="5" spans="2:2" x14ac:dyDescent="0.25">
      <c r="B5" s="2" t="s">
        <v>386</v>
      </c>
    </row>
    <row r="6" spans="2:2" x14ac:dyDescent="0.25">
      <c r="B6" s="2" t="s">
        <v>387</v>
      </c>
    </row>
    <row r="7" spans="2:2" x14ac:dyDescent="0.25">
      <c r="B7" s="2" t="s">
        <v>388</v>
      </c>
    </row>
    <row r="8" spans="2:2" x14ac:dyDescent="0.25">
      <c r="B8" s="2"/>
    </row>
    <row r="9" spans="2:2" x14ac:dyDescent="0.25">
      <c r="B9" s="2" t="s">
        <v>389</v>
      </c>
    </row>
    <row r="10" spans="2:2" x14ac:dyDescent="0.25">
      <c r="B10" s="2"/>
    </row>
    <row r="11" spans="2:2" x14ac:dyDescent="0.25">
      <c r="B11" s="2" t="s">
        <v>390</v>
      </c>
    </row>
    <row r="12" spans="2:2" x14ac:dyDescent="0.25">
      <c r="B12" s="2"/>
    </row>
    <row r="13" spans="2:2" x14ac:dyDescent="0.25">
      <c r="B13" s="88" t="s">
        <v>391</v>
      </c>
    </row>
    <row r="14" spans="2:2" x14ac:dyDescent="0.25">
      <c r="B14" s="2"/>
    </row>
    <row r="15" spans="2:2" ht="30" x14ac:dyDescent="0.25">
      <c r="B15" s="2" t="s">
        <v>392</v>
      </c>
    </row>
    <row r="16" spans="2:2" x14ac:dyDescent="0.25">
      <c r="B16" s="2"/>
    </row>
    <row r="17" spans="2:2" ht="60" x14ac:dyDescent="0.25">
      <c r="B17" s="2" t="s">
        <v>393</v>
      </c>
    </row>
    <row r="18" spans="2:2" x14ac:dyDescent="0.25">
      <c r="B18" s="2"/>
    </row>
    <row r="19" spans="2:2" x14ac:dyDescent="0.25">
      <c r="B19" s="2" t="s">
        <v>394</v>
      </c>
    </row>
    <row r="21" spans="2:2" ht="18.75" x14ac:dyDescent="0.3">
      <c r="B21" s="35" t="str">
        <f>HYPERLINK("#Samleark!RangeBudgetStart","Til Samleark")</f>
        <v>Til Samleark</v>
      </c>
    </row>
    <row r="22" spans="2:2" ht="18.75" x14ac:dyDescent="0.3">
      <c r="B22" s="35" t="str">
        <f>HYPERLINK("#Vejledning!RangeVejledningStart","Til Vejledning")</f>
        <v>Til Vejledning</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5E39A-E26C-4DDE-8D4A-4604A8CA4879}">
  <dimension ref="B3"/>
  <sheetViews>
    <sheetView workbookViewId="0"/>
  </sheetViews>
  <sheetFormatPr defaultRowHeight="15" x14ac:dyDescent="0.25"/>
  <sheetData>
    <row r="3" spans="2:2" x14ac:dyDescent="0.25">
      <c r="B3" t="s">
        <v>446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CD643-94B3-44C8-A771-C4242EF094D3}">
  <sheetPr>
    <tabColor theme="4"/>
    <pageSetUpPr fitToPage="1"/>
  </sheetPr>
  <dimension ref="B1:R68"/>
  <sheetViews>
    <sheetView showGridLines="0" tabSelected="1" view="pageBreakPreview" zoomScaleNormal="100" zoomScaleSheetLayoutView="100" workbookViewId="0">
      <selection activeCell="D7" sqref="D7"/>
    </sheetView>
  </sheetViews>
  <sheetFormatPr defaultColWidth="9.140625" defaultRowHeight="15" outlineLevelCol="1" x14ac:dyDescent="0.25"/>
  <cols>
    <col min="1" max="1" width="2.7109375" customWidth="1"/>
    <col min="2" max="2" width="17.7109375" bestFit="1" customWidth="1"/>
    <col min="3" max="3" width="10.42578125" bestFit="1" customWidth="1"/>
    <col min="4" max="4" width="83.85546875" customWidth="1"/>
    <col min="5" max="5" width="22.7109375" customWidth="1"/>
    <col min="6" max="6" width="15.7109375" customWidth="1"/>
    <col min="7" max="7" width="24" bestFit="1" customWidth="1"/>
    <col min="8" max="8" width="14.28515625" customWidth="1"/>
    <col min="9" max="10" width="17.7109375" hidden="1" customWidth="1" outlineLevel="1"/>
    <col min="11" max="11" width="24.85546875" hidden="1" customWidth="1" outlineLevel="1"/>
    <col min="12" max="12" width="21.42578125" hidden="1" customWidth="1" outlineLevel="1"/>
    <col min="13" max="13" width="13.85546875" hidden="1" customWidth="1" outlineLevel="1"/>
    <col min="14" max="14" width="23.7109375" hidden="1" customWidth="1" outlineLevel="1"/>
    <col min="15" max="15" width="8" hidden="1" customWidth="1" outlineLevel="1"/>
    <col min="16" max="16" width="9.140625" hidden="1" customWidth="1" outlineLevel="1"/>
    <col min="17" max="17" width="2.7109375" hidden="1" customWidth="1" outlineLevel="1"/>
    <col min="18" max="18" width="9.140625" customWidth="1" collapsed="1"/>
    <col min="16384" max="16384" width="19.140625" customWidth="1"/>
  </cols>
  <sheetData>
    <row r="1" spans="2:13" ht="20.25" thickBot="1" x14ac:dyDescent="0.35">
      <c r="B1" s="37" t="s">
        <v>241</v>
      </c>
      <c r="C1" s="37"/>
      <c r="D1" s="37"/>
      <c r="E1" s="37"/>
      <c r="F1" s="37"/>
      <c r="G1" s="37"/>
      <c r="K1" s="33" t="s">
        <v>241</v>
      </c>
    </row>
    <row r="2" spans="2:13" ht="15.75" thickTop="1" x14ac:dyDescent="0.25">
      <c r="K2" t="s">
        <v>307</v>
      </c>
      <c r="L2" t="s">
        <v>308</v>
      </c>
    </row>
    <row r="3" spans="2:13" x14ac:dyDescent="0.25">
      <c r="B3" t="s">
        <v>242</v>
      </c>
      <c r="C3" s="105"/>
      <c r="D3" s="106"/>
      <c r="K3" t="str">
        <f t="shared" ref="K3:K11" si="0">B3</f>
        <v>Projektnavn</v>
      </c>
      <c r="L3">
        <f t="shared" ref="L3:L11" si="1">C3</f>
        <v>0</v>
      </c>
    </row>
    <row r="4" spans="2:13" x14ac:dyDescent="0.25">
      <c r="B4" t="s">
        <v>330</v>
      </c>
      <c r="C4" s="105"/>
      <c r="D4" s="106"/>
      <c r="K4" t="str">
        <f>B4</f>
        <v>Ansvarlig PL</v>
      </c>
      <c r="L4">
        <f>C4</f>
        <v>0</v>
      </c>
    </row>
    <row r="5" spans="2:13" x14ac:dyDescent="0.25">
      <c r="B5" t="s">
        <v>265</v>
      </c>
      <c r="C5" s="54"/>
      <c r="K5" t="str">
        <f t="shared" si="0"/>
        <v>Sagsnr.</v>
      </c>
      <c r="L5">
        <f t="shared" si="1"/>
        <v>0</v>
      </c>
    </row>
    <row r="6" spans="2:13" x14ac:dyDescent="0.25">
      <c r="B6" t="s">
        <v>329</v>
      </c>
      <c r="C6" s="42" t="s">
        <v>449</v>
      </c>
      <c r="K6" t="str">
        <f t="shared" si="0"/>
        <v>YBL-fase</v>
      </c>
      <c r="L6" t="str">
        <f t="shared" si="1"/>
        <v>Fase 0</v>
      </c>
    </row>
    <row r="7" spans="2:13" x14ac:dyDescent="0.25">
      <c r="B7" t="s">
        <v>331</v>
      </c>
      <c r="C7" s="63"/>
      <c r="K7" t="str">
        <f>B7</f>
        <v>Revisionsdato</v>
      </c>
      <c r="L7" s="59">
        <f>C7</f>
        <v>0</v>
      </c>
    </row>
    <row r="8" spans="2:13" x14ac:dyDescent="0.25">
      <c r="B8" t="s">
        <v>332</v>
      </c>
      <c r="C8" s="42"/>
      <c r="K8" t="str">
        <f>B8</f>
        <v>Revisionsnummer</v>
      </c>
      <c r="L8">
        <f>C8</f>
        <v>0</v>
      </c>
    </row>
    <row r="9" spans="2:13" x14ac:dyDescent="0.25">
      <c r="B9" t="s">
        <v>327</v>
      </c>
      <c r="C9" s="63"/>
      <c r="K9" t="str">
        <f t="shared" si="0"/>
        <v>Forventet startdato</v>
      </c>
      <c r="L9" s="59">
        <f t="shared" si="1"/>
        <v>0</v>
      </c>
    </row>
    <row r="10" spans="2:13" x14ac:dyDescent="0.25">
      <c r="B10" t="s">
        <v>328</v>
      </c>
      <c r="C10" s="63"/>
      <c r="K10" t="str">
        <f t="shared" si="0"/>
        <v>Forventet slutdato</v>
      </c>
      <c r="L10" s="59">
        <f t="shared" si="1"/>
        <v>0</v>
      </c>
    </row>
    <row r="11" spans="2:13" x14ac:dyDescent="0.25">
      <c r="B11" t="s">
        <v>303</v>
      </c>
      <c r="C11" s="64"/>
      <c r="K11" t="str">
        <f t="shared" si="0"/>
        <v>Andel anlæg</v>
      </c>
      <c r="L11" s="60">
        <f t="shared" si="1"/>
        <v>0</v>
      </c>
    </row>
    <row r="12" spans="2:13" x14ac:dyDescent="0.25">
      <c r="B12" t="s">
        <v>333</v>
      </c>
      <c r="C12" s="107"/>
      <c r="D12" s="108"/>
      <c r="K12" t="str">
        <f>B12</f>
        <v>Godkendt af</v>
      </c>
      <c r="L12" s="65">
        <f>C12</f>
        <v>0</v>
      </c>
    </row>
    <row r="14" spans="2:13" ht="20.25" thickBot="1" x14ac:dyDescent="0.35">
      <c r="B14" s="37" t="s">
        <v>266</v>
      </c>
      <c r="C14" s="37"/>
      <c r="D14" s="37"/>
      <c r="E14" s="37"/>
      <c r="F14" s="37"/>
      <c r="G14" s="37"/>
      <c r="I14" s="33" t="s">
        <v>297</v>
      </c>
    </row>
    <row r="15" spans="2:13" ht="15.75" thickTop="1" x14ac:dyDescent="0.25">
      <c r="E15" s="58"/>
      <c r="F15" s="58" t="s">
        <v>43</v>
      </c>
      <c r="G15" s="39" t="s">
        <v>269</v>
      </c>
    </row>
    <row r="16" spans="2:13" x14ac:dyDescent="0.25">
      <c r="B16" s="33" t="s">
        <v>267</v>
      </c>
      <c r="C16" s="33" t="s">
        <v>268</v>
      </c>
      <c r="D16" s="33" t="s">
        <v>0</v>
      </c>
      <c r="E16" s="39"/>
      <c r="F16" s="39"/>
      <c r="G16" s="39" t="s">
        <v>270</v>
      </c>
      <c r="I16" s="33" t="s">
        <v>219</v>
      </c>
      <c r="J16" s="33" t="s">
        <v>262</v>
      </c>
      <c r="K16" s="33" t="s">
        <v>306</v>
      </c>
      <c r="L16" s="33"/>
      <c r="M16" s="33"/>
    </row>
    <row r="17" spans="2:16" x14ac:dyDescent="0.25">
      <c r="B17" s="33"/>
      <c r="C17" s="33"/>
      <c r="D17" s="33"/>
      <c r="E17" s="39"/>
      <c r="F17" s="39"/>
      <c r="G17" s="39"/>
      <c r="I17" s="33"/>
      <c r="J17" s="33"/>
    </row>
    <row r="18" spans="2:16" x14ac:dyDescent="0.25">
      <c r="B18" s="43"/>
      <c r="C18" s="43"/>
      <c r="D18" s="43" t="s">
        <v>280</v>
      </c>
      <c r="E18" s="44"/>
      <c r="F18" s="45">
        <f ca="1">F19+F38</f>
        <v>0</v>
      </c>
      <c r="G18" s="45">
        <f>G19+G38</f>
        <v>0</v>
      </c>
      <c r="I18" s="33"/>
      <c r="J18" s="33"/>
    </row>
    <row r="19" spans="2:16" x14ac:dyDescent="0.25">
      <c r="B19" s="46"/>
      <c r="C19" s="46"/>
      <c r="D19" s="47" t="s">
        <v>281</v>
      </c>
      <c r="E19" s="46"/>
      <c r="F19" s="48">
        <f ca="1">F21+F33</f>
        <v>0</v>
      </c>
      <c r="G19" s="48">
        <f>G21+G33</f>
        <v>0</v>
      </c>
    </row>
    <row r="21" spans="2:16" x14ac:dyDescent="0.25">
      <c r="B21" s="49"/>
      <c r="C21" s="49" t="s">
        <v>91</v>
      </c>
      <c r="D21" s="49" t="s">
        <v>92</v>
      </c>
      <c r="E21" s="49" t="s">
        <v>298</v>
      </c>
      <c r="F21" s="50">
        <f ca="1">SUMIFS(F22:F31,$O22:$O31,"Nej")</f>
        <v>0</v>
      </c>
      <c r="G21" s="50">
        <f>SUM(G22:G31)</f>
        <v>0</v>
      </c>
      <c r="K21" t="s">
        <v>268</v>
      </c>
      <c r="L21" t="s">
        <v>312</v>
      </c>
      <c r="M21" t="s">
        <v>267</v>
      </c>
      <c r="N21" t="s">
        <v>0</v>
      </c>
      <c r="O21" t="s">
        <v>302</v>
      </c>
      <c r="P21" t="s">
        <v>271</v>
      </c>
    </row>
    <row r="22" spans="2:16" x14ac:dyDescent="0.25">
      <c r="B22">
        <v>11011</v>
      </c>
      <c r="C22" t="s">
        <v>26</v>
      </c>
      <c r="D22" t="s">
        <v>52</v>
      </c>
      <c r="E22" s="34" t="str">
        <f>HYPERLINK("#"&amp;$I22&amp;"!Tabel_"&amp;$C22&amp;"_"&amp;IF($J22="Ja","Molio","SK")&amp;"[[Mængde]]",$I22)</f>
        <v>Nedbrydning</v>
      </c>
      <c r="F22" s="1">
        <f ca="1">SUM(INDIRECT("Tabel_"&amp;$C22&amp;"_SK[[m.
Den forventede værdi (middelværdi)]]"))
+IF($J22="Ja",SUM(INDIRECT("Tabel_"&amp;$C22&amp;"_Molio[[Beregnet budget]]")),0)</f>
        <v>0</v>
      </c>
      <c r="G22" s="38"/>
      <c r="I22" t="s">
        <v>52</v>
      </c>
      <c r="K22" t="str">
        <f t="shared" ref="K22:K45" si="2">IF(I22="","",C22)</f>
        <v>1.1</v>
      </c>
      <c r="L22" t="str">
        <f>IFERROR(LEFT(Tabel_Samleark[[#This Row],[Punkt]],FIND(".",Tabel_Samleark[[#This Row],[Punkt]])-1),"")</f>
        <v>1</v>
      </c>
      <c r="M22">
        <f>IF(Tabel_Samleark[[#This Row],[Punkt]]="","",$B22)</f>
        <v>11011</v>
      </c>
      <c r="N22" t="str">
        <f>IF(Tabel_Samleark[[#This Row],[Punkt]]="","",$D22)</f>
        <v>Nedbrydning</v>
      </c>
      <c r="O22" t="str">
        <f>IF(Tabel_Samleark[[#This Row],[Punkt]]="","",IF(G22&lt;&gt;"","Ja","Nej"))</f>
        <v>Nej</v>
      </c>
      <c r="P22" s="57" t="str">
        <f>IF(Tabel_Samleark[[#This Row],[Overskriv faneværdier]]="Ja",$G22,IF($I22="Samleark",$F22,""))</f>
        <v/>
      </c>
    </row>
    <row r="23" spans="2:16" x14ac:dyDescent="0.25">
      <c r="B23">
        <v>12011</v>
      </c>
      <c r="C23" t="s">
        <v>65</v>
      </c>
      <c r="D23" t="s">
        <v>75</v>
      </c>
      <c r="E23" s="34" t="str">
        <f t="shared" ref="E23:E31" si="3">HYPERLINK("#"&amp;$I23&amp;"!Tabel_"&amp;$C23&amp;"_"&amp;IF($J23="Ja","Molio","SK")&amp;"[[Mængde]]",$I23)</f>
        <v>Tømrer</v>
      </c>
      <c r="F23" s="1">
        <f t="shared" ref="F23:F31" ca="1" si="4">SUM(INDIRECT("Tabel_"&amp;$C23&amp;"_SK[[m.
Den forventede værdi (middelværdi)]]"))
+IF($J23="Ja",SUM(INDIRECT("Tabel_"&amp;$C23&amp;"_Molio[[Beregnet budget]]")),0)</f>
        <v>0</v>
      </c>
      <c r="G23" s="38"/>
      <c r="I23" t="s">
        <v>75</v>
      </c>
      <c r="J23" t="s">
        <v>263</v>
      </c>
      <c r="K23" t="str">
        <f t="shared" si="2"/>
        <v>1.2</v>
      </c>
      <c r="L23" t="str">
        <f>IFERROR(LEFT(Tabel_Samleark[[#This Row],[Punkt]],FIND(".",Tabel_Samleark[[#This Row],[Punkt]])-1),"")</f>
        <v>1</v>
      </c>
      <c r="M23">
        <f>IF(Tabel_Samleark[[#This Row],[Punkt]]="","",$B23)</f>
        <v>12011</v>
      </c>
      <c r="N23" t="str">
        <f>IF(Tabel_Samleark[[#This Row],[Punkt]]="","",$D23)</f>
        <v>Tømrer</v>
      </c>
      <c r="O23" t="str">
        <f>IF(Tabel_Samleark[[#This Row],[Punkt]]="","",IF(G23&lt;&gt;"","Ja","Nej"))</f>
        <v>Nej</v>
      </c>
      <c r="P23" s="57" t="str">
        <f>IF(Tabel_Samleark[[#This Row],[Overskriv faneværdier]]="Ja",$G23,IF($I23="Samleark",$F23,""))</f>
        <v/>
      </c>
    </row>
    <row r="24" spans="2:16" x14ac:dyDescent="0.25">
      <c r="B24">
        <v>13011</v>
      </c>
      <c r="C24" t="s">
        <v>41</v>
      </c>
      <c r="D24" t="s">
        <v>53</v>
      </c>
      <c r="E24" s="34" t="str">
        <f t="shared" si="3"/>
        <v>Gulv</v>
      </c>
      <c r="F24" s="1">
        <f t="shared" ca="1" si="4"/>
        <v>0</v>
      </c>
      <c r="G24" s="38"/>
      <c r="I24" t="s">
        <v>53</v>
      </c>
      <c r="J24" t="s">
        <v>264</v>
      </c>
      <c r="K24" t="str">
        <f t="shared" si="2"/>
        <v>1.3</v>
      </c>
      <c r="L24" t="str">
        <f>IFERROR(LEFT(Tabel_Samleark[[#This Row],[Punkt]],FIND(".",Tabel_Samleark[[#This Row],[Punkt]])-1),"")</f>
        <v>1</v>
      </c>
      <c r="M24">
        <f>IF(Tabel_Samleark[[#This Row],[Punkt]]="","",$B24)</f>
        <v>13011</v>
      </c>
      <c r="N24" t="str">
        <f>IF(Tabel_Samleark[[#This Row],[Punkt]]="","",$D24)</f>
        <v>Gulv</v>
      </c>
      <c r="O24" t="str">
        <f>IF(Tabel_Samleark[[#This Row],[Punkt]]="","",IF(G24&lt;&gt;"","Ja","Nej"))</f>
        <v>Nej</v>
      </c>
      <c r="P24" s="57" t="str">
        <f>IF(Tabel_Samleark[[#This Row],[Overskriv faneværdier]]="Ja",$G24,IF($I24="Samleark",$F24,""))</f>
        <v/>
      </c>
    </row>
    <row r="25" spans="2:16" x14ac:dyDescent="0.25">
      <c r="B25">
        <v>14011</v>
      </c>
      <c r="C25" t="s">
        <v>76</v>
      </c>
      <c r="D25" t="s">
        <v>77</v>
      </c>
      <c r="E25" s="34" t="str">
        <f t="shared" si="3"/>
        <v>Murer</v>
      </c>
      <c r="F25" s="1">
        <f t="shared" ca="1" si="4"/>
        <v>0</v>
      </c>
      <c r="G25" s="38"/>
      <c r="I25" t="s">
        <v>77</v>
      </c>
      <c r="J25" t="s">
        <v>263</v>
      </c>
      <c r="K25" t="str">
        <f t="shared" si="2"/>
        <v>1.4</v>
      </c>
      <c r="L25" t="str">
        <f>IFERROR(LEFT(Tabel_Samleark[[#This Row],[Punkt]],FIND(".",Tabel_Samleark[[#This Row],[Punkt]])-1),"")</f>
        <v>1</v>
      </c>
      <c r="M25">
        <f>IF(Tabel_Samleark[[#This Row],[Punkt]]="","",$B25)</f>
        <v>14011</v>
      </c>
      <c r="N25" t="str">
        <f>IF(Tabel_Samleark[[#This Row],[Punkt]]="","",$D25)</f>
        <v>Murer</v>
      </c>
      <c r="O25" t="str">
        <f>IF(Tabel_Samleark[[#This Row],[Punkt]]="","",IF(G25&lt;&gt;"","Ja","Nej"))</f>
        <v>Nej</v>
      </c>
      <c r="P25" s="57" t="str">
        <f>IF(Tabel_Samleark[[#This Row],[Overskriv faneværdier]]="Ja",$G25,IF($I25="Samleark",$F25,""))</f>
        <v/>
      </c>
    </row>
    <row r="26" spans="2:16" x14ac:dyDescent="0.25">
      <c r="B26">
        <v>15011</v>
      </c>
      <c r="C26" t="s">
        <v>78</v>
      </c>
      <c r="D26" t="s">
        <v>79</v>
      </c>
      <c r="E26" s="34" t="str">
        <f t="shared" si="3"/>
        <v>Maler</v>
      </c>
      <c r="F26" s="1">
        <f t="shared" ca="1" si="4"/>
        <v>0</v>
      </c>
      <c r="G26" s="38"/>
      <c r="I26" t="s">
        <v>79</v>
      </c>
      <c r="J26" t="s">
        <v>263</v>
      </c>
      <c r="K26" t="str">
        <f t="shared" si="2"/>
        <v>1.5</v>
      </c>
      <c r="L26" t="str">
        <f>IFERROR(LEFT(Tabel_Samleark[[#This Row],[Punkt]],FIND(".",Tabel_Samleark[[#This Row],[Punkt]])-1),"")</f>
        <v>1</v>
      </c>
      <c r="M26">
        <f>IF(Tabel_Samleark[[#This Row],[Punkt]]="","",$B26)</f>
        <v>15011</v>
      </c>
      <c r="N26" t="str">
        <f>IF(Tabel_Samleark[[#This Row],[Punkt]]="","",$D26)</f>
        <v>Maler</v>
      </c>
      <c r="O26" t="str">
        <f>IF(Tabel_Samleark[[#This Row],[Punkt]]="","",IF(G26&lt;&gt;"","Ja","Nej"))</f>
        <v>Nej</v>
      </c>
      <c r="P26" s="57" t="str">
        <f>IF(Tabel_Samleark[[#This Row],[Overskriv faneværdier]]="Ja",$G26,IF($I26="Samleark",$F26,""))</f>
        <v/>
      </c>
    </row>
    <row r="27" spans="2:16" x14ac:dyDescent="0.25">
      <c r="B27">
        <v>16011</v>
      </c>
      <c r="C27" t="s">
        <v>80</v>
      </c>
      <c r="D27" t="s">
        <v>81</v>
      </c>
      <c r="E27" s="34" t="str">
        <f>HYPERLINK("#"&amp;$I27&amp;"!Tabel_"&amp;$C27&amp;"_"&amp;IF($J27="Ja","Molio","SK")&amp;"[[Mængde]]",$I27)</f>
        <v>VVS</v>
      </c>
      <c r="F27" s="1">
        <f t="shared" ca="1" si="4"/>
        <v>0</v>
      </c>
      <c r="G27" s="38"/>
      <c r="I27" t="s">
        <v>81</v>
      </c>
      <c r="J27" t="s">
        <v>264</v>
      </c>
      <c r="K27" t="str">
        <f t="shared" si="2"/>
        <v>1.6</v>
      </c>
      <c r="L27" t="str">
        <f>IFERROR(LEFT(Tabel_Samleark[[#This Row],[Punkt]],FIND(".",Tabel_Samleark[[#This Row],[Punkt]])-1),"")</f>
        <v>1</v>
      </c>
      <c r="M27">
        <f>IF(Tabel_Samleark[[#This Row],[Punkt]]="","",$B27)</f>
        <v>16011</v>
      </c>
      <c r="N27" t="str">
        <f>IF(Tabel_Samleark[[#This Row],[Punkt]]="","",$D27)</f>
        <v>VVS</v>
      </c>
      <c r="O27" t="str">
        <f>IF(Tabel_Samleark[[#This Row],[Punkt]]="","",IF(G27&lt;&gt;"","Ja","Nej"))</f>
        <v>Nej</v>
      </c>
      <c r="P27" s="57" t="str">
        <f>IF(Tabel_Samleark[[#This Row],[Overskriv faneværdier]]="Ja",$G27,IF($I27="Samleark",$F27,""))</f>
        <v/>
      </c>
    </row>
    <row r="28" spans="2:16" x14ac:dyDescent="0.25">
      <c r="B28">
        <v>17011</v>
      </c>
      <c r="C28" t="s">
        <v>82</v>
      </c>
      <c r="D28" t="s">
        <v>83</v>
      </c>
      <c r="E28" s="34" t="str">
        <f>HYPERLINK("#"&amp;$I28&amp;"!Tabel_"&amp;$C28&amp;"_"&amp;IF($J28="Ja","Molio","SK")&amp;"[[Mængde]]",$I28)</f>
        <v>Ventilation</v>
      </c>
      <c r="F28" s="1">
        <f ca="1">SUM(INDIRECT("Tabel_"&amp;$C28&amp;"_SK[[m.
Den forventede værdi (middelværdi)]]"))
+IF($J28="Ja",SUM(INDIRECT("Tabel_"&amp;$C28&amp;"_Molio[[Beregnet budget]]")),0)</f>
        <v>0</v>
      </c>
      <c r="G28" s="38"/>
      <c r="I28" t="s">
        <v>83</v>
      </c>
      <c r="J28" t="s">
        <v>264</v>
      </c>
      <c r="K28" t="str">
        <f t="shared" si="2"/>
        <v>1.7</v>
      </c>
      <c r="L28" t="str">
        <f>IFERROR(LEFT(Tabel_Samleark[[#This Row],[Punkt]],FIND(".",Tabel_Samleark[[#This Row],[Punkt]])-1),"")</f>
        <v>1</v>
      </c>
      <c r="M28">
        <f>IF(Tabel_Samleark[[#This Row],[Punkt]]="","",$B28)</f>
        <v>17011</v>
      </c>
      <c r="N28" t="str">
        <f>IF(Tabel_Samleark[[#This Row],[Punkt]]="","",$D28)</f>
        <v>Ventilation</v>
      </c>
      <c r="O28" t="str">
        <f>IF(Tabel_Samleark[[#This Row],[Punkt]]="","",IF(G28&lt;&gt;"","Ja","Nej"))</f>
        <v>Nej</v>
      </c>
      <c r="P28" s="57" t="str">
        <f>IF(Tabel_Samleark[[#This Row],[Overskriv faneværdier]]="Ja",$G28,IF($I28="Samleark",$F28,""))</f>
        <v/>
      </c>
    </row>
    <row r="29" spans="2:16" x14ac:dyDescent="0.25">
      <c r="B29">
        <v>18011</v>
      </c>
      <c r="C29" t="s">
        <v>84</v>
      </c>
      <c r="D29" t="s">
        <v>244</v>
      </c>
      <c r="E29" s="34" t="str">
        <f t="shared" si="3"/>
        <v>El</v>
      </c>
      <c r="F29" s="1">
        <f t="shared" ca="1" si="4"/>
        <v>0</v>
      </c>
      <c r="G29" s="38"/>
      <c r="I29" t="s">
        <v>85</v>
      </c>
      <c r="J29" t="s">
        <v>264</v>
      </c>
      <c r="K29" t="str">
        <f t="shared" si="2"/>
        <v>1.8</v>
      </c>
      <c r="L29" t="str">
        <f>IFERROR(LEFT(Tabel_Samleark[[#This Row],[Punkt]],FIND(".",Tabel_Samleark[[#This Row],[Punkt]])-1),"")</f>
        <v>1</v>
      </c>
      <c r="M29">
        <f>IF(Tabel_Samleark[[#This Row],[Punkt]]="","",$B29)</f>
        <v>18011</v>
      </c>
      <c r="N29" t="str">
        <f>IF(Tabel_Samleark[[#This Row],[Punkt]]="","",$D29)</f>
        <v>Stærkstrøm</v>
      </c>
      <c r="O29" t="str">
        <f>IF(Tabel_Samleark[[#This Row],[Punkt]]="","",IF(G29&lt;&gt;"","Ja","Nej"))</f>
        <v>Nej</v>
      </c>
      <c r="P29" s="57" t="str">
        <f>IF(Tabel_Samleark[[#This Row],[Overskriv faneværdier]]="Ja",$G29,IF($I29="Samleark",$F29,""))</f>
        <v/>
      </c>
    </row>
    <row r="30" spans="2:16" x14ac:dyDescent="0.25">
      <c r="B30">
        <v>18011</v>
      </c>
      <c r="C30" t="s">
        <v>86</v>
      </c>
      <c r="D30" t="s">
        <v>87</v>
      </c>
      <c r="E30" s="34" t="str">
        <f t="shared" si="3"/>
        <v>El</v>
      </c>
      <c r="F30" s="1">
        <f t="shared" ca="1" si="4"/>
        <v>0</v>
      </c>
      <c r="G30" s="38"/>
      <c r="I30" t="s">
        <v>85</v>
      </c>
      <c r="J30" t="s">
        <v>264</v>
      </c>
      <c r="K30" t="str">
        <f t="shared" si="2"/>
        <v>1.9</v>
      </c>
      <c r="L30" t="str">
        <f>IFERROR(LEFT(Tabel_Samleark[[#This Row],[Punkt]],FIND(".",Tabel_Samleark[[#This Row],[Punkt]])-1),"")</f>
        <v>1</v>
      </c>
      <c r="M30">
        <f>IF(Tabel_Samleark[[#This Row],[Punkt]]="","",$B30)</f>
        <v>18011</v>
      </c>
      <c r="N30" t="str">
        <f>IF(Tabel_Samleark[[#This Row],[Punkt]]="","",$D30)</f>
        <v>Svagstrøm</v>
      </c>
      <c r="O30" t="str">
        <f>IF(Tabel_Samleark[[#This Row],[Punkt]]="","",IF(G30&lt;&gt;"","Ja","Nej"))</f>
        <v>Nej</v>
      </c>
      <c r="P30" s="57" t="str">
        <f>IF(Tabel_Samleark[[#This Row],[Overskriv faneværdier]]="Ja",$G30,IF($I30="Samleark",$F30,""))</f>
        <v/>
      </c>
    </row>
    <row r="31" spans="2:16" x14ac:dyDescent="0.25">
      <c r="B31">
        <v>19011</v>
      </c>
      <c r="C31" t="s">
        <v>88</v>
      </c>
      <c r="D31" t="s">
        <v>414</v>
      </c>
      <c r="E31" s="34" t="str">
        <f t="shared" si="3"/>
        <v>El</v>
      </c>
      <c r="F31" s="1">
        <f t="shared" ca="1" si="4"/>
        <v>0</v>
      </c>
      <c r="G31" s="38"/>
      <c r="I31" t="s">
        <v>85</v>
      </c>
      <c r="J31" t="s">
        <v>264</v>
      </c>
      <c r="K31" t="str">
        <f t="shared" si="2"/>
        <v>1.10</v>
      </c>
      <c r="L31" t="str">
        <f>IFERROR(LEFT(Tabel_Samleark[[#This Row],[Punkt]],FIND(".",Tabel_Samleark[[#This Row],[Punkt]])-1),"")</f>
        <v>1</v>
      </c>
      <c r="M31">
        <f>IF(Tabel_Samleark[[#This Row],[Punkt]]="","",$B31)</f>
        <v>19011</v>
      </c>
      <c r="N31" t="str">
        <f>IF(Tabel_Samleark[[#This Row],[Punkt]]="","",$D31)</f>
        <v>Særinstallationer</v>
      </c>
      <c r="O31" t="str">
        <f>IF(Tabel_Samleark[[#This Row],[Punkt]]="","",IF(G31&lt;&gt;"","Ja","Nej"))</f>
        <v>Nej</v>
      </c>
      <c r="P31" s="57" t="str">
        <f>IF(Tabel_Samleark[[#This Row],[Overskriv faneværdier]]="Ja",$G31,IF($I31="Samleark",$F31,""))</f>
        <v/>
      </c>
    </row>
    <row r="32" spans="2:16" x14ac:dyDescent="0.25">
      <c r="K32" t="str">
        <f t="shared" si="2"/>
        <v/>
      </c>
      <c r="L32" t="str">
        <f>IFERROR(LEFT(Tabel_Samleark[[#This Row],[Punkt]],FIND(".",Tabel_Samleark[[#This Row],[Punkt]])-1),"")</f>
        <v/>
      </c>
      <c r="M32" t="str">
        <f>IF(Tabel_Samleark[[#This Row],[Punkt]]="","",$B32)</f>
        <v/>
      </c>
      <c r="N32" t="str">
        <f>IF(Tabel_Samleark[[#This Row],[Punkt]]="","",$D32)</f>
        <v/>
      </c>
      <c r="O32" t="str">
        <f>IF(Tabel_Samleark[[#This Row],[Punkt]]="","",IF(G32&lt;&gt;"","Ja","Nej"))</f>
        <v/>
      </c>
      <c r="P32" s="57" t="str">
        <f>IF(Tabel_Samleark[[#This Row],[Overskriv faneværdier]]="Ja",$G32,IF($I32="Samleark",$F32,""))</f>
        <v/>
      </c>
    </row>
    <row r="33" spans="2:16" x14ac:dyDescent="0.25">
      <c r="B33" s="49"/>
      <c r="C33" s="49" t="s">
        <v>93</v>
      </c>
      <c r="D33" s="49" t="s">
        <v>94</v>
      </c>
      <c r="E33" s="49" t="s">
        <v>298</v>
      </c>
      <c r="F33" s="50">
        <f ca="1">SUMIFS(F34:F36,$O34:$O36,"Nej")</f>
        <v>0</v>
      </c>
      <c r="G33" s="50">
        <f>SUM(G34:G36)</f>
        <v>0</v>
      </c>
      <c r="K33" t="str">
        <f t="shared" si="2"/>
        <v/>
      </c>
      <c r="L33" t="str">
        <f>IFERROR(LEFT(Tabel_Samleark[[#This Row],[Punkt]],FIND(".",Tabel_Samleark[[#This Row],[Punkt]])-1),"")</f>
        <v/>
      </c>
      <c r="M33" t="str">
        <f>IF(Tabel_Samleark[[#This Row],[Punkt]]="","",$B33)</f>
        <v/>
      </c>
      <c r="N33" t="str">
        <f>IF(Tabel_Samleark[[#This Row],[Punkt]]="","",$D33)</f>
        <v/>
      </c>
      <c r="O33" t="str">
        <f>IF(Tabel_Samleark[[#This Row],[Punkt]]="","",IF(G33&lt;&gt;"","Ja","Nej"))</f>
        <v/>
      </c>
      <c r="P33" s="57" t="str">
        <f>IF(Tabel_Samleark[[#This Row],[Overskriv faneværdier]]="Ja",$G33,IF($I33="Samleark",$F33,""))</f>
        <v/>
      </c>
    </row>
    <row r="34" spans="2:16" x14ac:dyDescent="0.25">
      <c r="B34">
        <v>21011</v>
      </c>
      <c r="C34" t="s">
        <v>40</v>
      </c>
      <c r="D34" t="s">
        <v>52</v>
      </c>
      <c r="E34" s="34" t="str">
        <f t="shared" ref="E34:E36" si="5">HYPERLINK("#"&amp;$I34&amp;"!Tabel_"&amp;$C34&amp;"_"&amp;IF($J34="Ja","Molio","SK")&amp;"[[Mængde]]",$I34)</f>
        <v>Nedbrydning</v>
      </c>
      <c r="F34" s="1">
        <f t="shared" ref="F34:F36" ca="1" si="6">SUM(INDIRECT("Tabel_"&amp;$C34&amp;"_SK[[m.
Den forventede værdi (middelværdi)]]"))
+IF($J34="Ja",SUM(INDIRECT("Tabel_"&amp;$C34&amp;"_Molio[[Beregnet budget]]")),0)</f>
        <v>0</v>
      </c>
      <c r="G34" s="38"/>
      <c r="I34" t="s">
        <v>52</v>
      </c>
      <c r="J34" t="s">
        <v>263</v>
      </c>
      <c r="K34" t="str">
        <f t="shared" si="2"/>
        <v>2.1</v>
      </c>
      <c r="L34" t="str">
        <f>IFERROR(LEFT(Tabel_Samleark[[#This Row],[Punkt]],FIND(".",Tabel_Samleark[[#This Row],[Punkt]])-1),"")</f>
        <v>2</v>
      </c>
      <c r="M34">
        <f>IF(Tabel_Samleark[[#This Row],[Punkt]]="","",$B34)</f>
        <v>21011</v>
      </c>
      <c r="N34" t="str">
        <f>IF(Tabel_Samleark[[#This Row],[Punkt]]="","",$D34)</f>
        <v>Nedbrydning</v>
      </c>
      <c r="O34" t="str">
        <f>IF(Tabel_Samleark[[#This Row],[Punkt]]="","",IF(G34&lt;&gt;"","Ja","Nej"))</f>
        <v>Nej</v>
      </c>
      <c r="P34" s="57" t="str">
        <f>IF(Tabel_Samleark[[#This Row],[Overskriv faneværdier]]="Ja",$G34,IF($I34="Samleark",$F34,""))</f>
        <v/>
      </c>
    </row>
    <row r="35" spans="2:16" x14ac:dyDescent="0.25">
      <c r="B35">
        <v>22011</v>
      </c>
      <c r="C35" t="s">
        <v>66</v>
      </c>
      <c r="D35" t="s">
        <v>75</v>
      </c>
      <c r="E35" s="34" t="str">
        <f t="shared" si="5"/>
        <v>Tømrer</v>
      </c>
      <c r="F35" s="1">
        <f t="shared" ca="1" si="6"/>
        <v>0</v>
      </c>
      <c r="G35" s="38"/>
      <c r="I35" t="s">
        <v>75</v>
      </c>
      <c r="J35" t="s">
        <v>263</v>
      </c>
      <c r="K35" t="str">
        <f t="shared" si="2"/>
        <v>2.2</v>
      </c>
      <c r="L35" t="str">
        <f>IFERROR(LEFT(Tabel_Samleark[[#This Row],[Punkt]],FIND(".",Tabel_Samleark[[#This Row],[Punkt]])-1),"")</f>
        <v>2</v>
      </c>
      <c r="M35">
        <f>IF(Tabel_Samleark[[#This Row],[Punkt]]="","",$B35)</f>
        <v>22011</v>
      </c>
      <c r="N35" t="str">
        <f>IF(Tabel_Samleark[[#This Row],[Punkt]]="","",$D35)</f>
        <v>Tømrer</v>
      </c>
      <c r="O35" t="str">
        <f>IF(Tabel_Samleark[[#This Row],[Punkt]]="","",IF(G35&lt;&gt;"","Ja","Nej"))</f>
        <v>Nej</v>
      </c>
      <c r="P35" s="57" t="str">
        <f>IF(Tabel_Samleark[[#This Row],[Overskriv faneværdier]]="Ja",$G35,IF($I35="Samleark",$F35,""))</f>
        <v/>
      </c>
    </row>
    <row r="36" spans="2:16" x14ac:dyDescent="0.25">
      <c r="B36">
        <v>23011</v>
      </c>
      <c r="C36" t="s">
        <v>89</v>
      </c>
      <c r="D36" t="s">
        <v>90</v>
      </c>
      <c r="E36" s="34" t="str">
        <f t="shared" si="5"/>
        <v>Jord</v>
      </c>
      <c r="F36" s="1">
        <f t="shared" ca="1" si="6"/>
        <v>0</v>
      </c>
      <c r="G36" s="38"/>
      <c r="I36" t="s">
        <v>218</v>
      </c>
      <c r="J36" t="s">
        <v>263</v>
      </c>
      <c r="K36" t="str">
        <f t="shared" si="2"/>
        <v>2.3</v>
      </c>
      <c r="L36" t="str">
        <f>IFERROR(LEFT(Tabel_Samleark[[#This Row],[Punkt]],FIND(".",Tabel_Samleark[[#This Row],[Punkt]])-1),"")</f>
        <v>2</v>
      </c>
      <c r="M36">
        <f>IF(Tabel_Samleark[[#This Row],[Punkt]]="","",$B36)</f>
        <v>23011</v>
      </c>
      <c r="N36" t="str">
        <f>IF(Tabel_Samleark[[#This Row],[Punkt]]="","",$D36)</f>
        <v>Anlægsarbejder i jord</v>
      </c>
      <c r="O36" t="str">
        <f>IF(Tabel_Samleark[[#This Row],[Punkt]]="","",IF(G36&lt;&gt;"","Ja","Nej"))</f>
        <v>Nej</v>
      </c>
      <c r="P36" s="57" t="str">
        <f>IF(Tabel_Samleark[[#This Row],[Overskriv faneværdier]]="Ja",$G36,IF($I36="Samleark",$F36,""))</f>
        <v/>
      </c>
    </row>
    <row r="37" spans="2:16" x14ac:dyDescent="0.25">
      <c r="K37" t="str">
        <f t="shared" si="2"/>
        <v/>
      </c>
      <c r="L37" t="str">
        <f>IFERROR(LEFT(Tabel_Samleark[[#This Row],[Punkt]],FIND(".",Tabel_Samleark[[#This Row],[Punkt]])-1),"")</f>
        <v/>
      </c>
      <c r="M37" t="str">
        <f>IF(Tabel_Samleark[[#This Row],[Punkt]]="","",$B37)</f>
        <v/>
      </c>
      <c r="N37" t="str">
        <f>IF(Tabel_Samleark[[#This Row],[Punkt]]="","",$D37)</f>
        <v/>
      </c>
      <c r="O37" t="str">
        <f>IF(Tabel_Samleark[[#This Row],[Punkt]]="","",IF(G37&lt;&gt;"","Ja","Nej"))</f>
        <v/>
      </c>
      <c r="P37" s="57" t="str">
        <f>IF(Tabel_Samleark[[#This Row],[Overskriv faneværdier]]="Ja",$G37,IF($I37="Samleark",$F37,""))</f>
        <v/>
      </c>
    </row>
    <row r="38" spans="2:16" x14ac:dyDescent="0.25">
      <c r="B38" s="49"/>
      <c r="C38" s="49" t="s">
        <v>272</v>
      </c>
      <c r="D38" s="49" t="s">
        <v>273</v>
      </c>
      <c r="E38" s="49" t="s">
        <v>299</v>
      </c>
      <c r="F38" s="50">
        <f ca="1">SUM(F39:F41)</f>
        <v>0</v>
      </c>
      <c r="G38" s="50"/>
      <c r="K38" t="str">
        <f t="shared" si="2"/>
        <v/>
      </c>
      <c r="L38" t="str">
        <f>IFERROR(LEFT(Tabel_Samleark[[#This Row],[Punkt]],FIND(".",Tabel_Samleark[[#This Row],[Punkt]])-1),"")</f>
        <v/>
      </c>
      <c r="M38" t="str">
        <f>IF(Tabel_Samleark[[#This Row],[Punkt]]="","",$B38)</f>
        <v/>
      </c>
      <c r="N38" t="str">
        <f>IF(Tabel_Samleark[[#This Row],[Punkt]]="","",$D38)</f>
        <v/>
      </c>
      <c r="O38" t="str">
        <f>IF(Tabel_Samleark[[#This Row],[Punkt]]="","",IF(G38&lt;&gt;"","Ja","Nej"))</f>
        <v/>
      </c>
      <c r="P38" s="57" t="str">
        <f>IF(Tabel_Samleark[[#This Row],[Overskriv faneværdier]]="Ja",$G38,IF($I38="Samleark",$F38,""))</f>
        <v/>
      </c>
    </row>
    <row r="39" spans="2:16" x14ac:dyDescent="0.25">
      <c r="B39">
        <v>31011</v>
      </c>
      <c r="C39" t="s">
        <v>274</v>
      </c>
      <c r="D39" t="s">
        <v>275</v>
      </c>
      <c r="E39" s="67">
        <v>0.04</v>
      </c>
      <c r="F39" s="1">
        <f ca="1">SUM($F$19:$G$19)*$E39</f>
        <v>0</v>
      </c>
      <c r="I39" t="s">
        <v>301</v>
      </c>
      <c r="K39" t="str">
        <f t="shared" si="2"/>
        <v>3.1</v>
      </c>
      <c r="L39" t="str">
        <f>IFERROR(LEFT(Tabel_Samleark[[#This Row],[Punkt]],FIND(".",Tabel_Samleark[[#This Row],[Punkt]])-1),"")</f>
        <v>3</v>
      </c>
      <c r="M39">
        <f>IF(Tabel_Samleark[[#This Row],[Punkt]]="","",$B39)</f>
        <v>31011</v>
      </c>
      <c r="N39" t="str">
        <f>IF(Tabel_Samleark[[#This Row],[Punkt]]="","",$D39)</f>
        <v>Byggepladsomkostninger (anstilling og nedtagning af byggeplads i byggeperioden)</v>
      </c>
      <c r="O39" t="str">
        <f>IF(Tabel_Samleark[[#This Row],[Punkt]]="","",IF(G39&lt;&gt;"","Ja","Nej"))</f>
        <v>Nej</v>
      </c>
      <c r="P39" s="57">
        <f ca="1">IF(Tabel_Samleark[[#This Row],[Overskriv faneværdier]]="Ja",$G39,IF($I39="Samleark",$F39,""))</f>
        <v>0</v>
      </c>
    </row>
    <row r="40" spans="2:16" x14ac:dyDescent="0.25">
      <c r="B40">
        <v>32011</v>
      </c>
      <c r="C40" t="s">
        <v>276</v>
      </c>
      <c r="D40" t="s">
        <v>277</v>
      </c>
      <c r="E40" s="67">
        <v>0.02</v>
      </c>
      <c r="F40" s="1">
        <f ca="1">SUM($F$19:$G$19)*$E40</f>
        <v>0</v>
      </c>
      <c r="I40" t="s">
        <v>301</v>
      </c>
      <c r="K40" t="str">
        <f t="shared" si="2"/>
        <v>3.2</v>
      </c>
      <c r="L40" t="str">
        <f>IFERROR(LEFT(Tabel_Samleark[[#This Row],[Punkt]],FIND(".",Tabel_Samleark[[#This Row],[Punkt]])-1),"")</f>
        <v>3</v>
      </c>
      <c r="M40">
        <f>IF(Tabel_Samleark[[#This Row],[Punkt]]="","",$B40)</f>
        <v>32011</v>
      </c>
      <c r="N40" t="str">
        <f>IF(Tabel_Samleark[[#This Row],[Punkt]]="","",$D40)</f>
        <v>Vinterforanstaltninger</v>
      </c>
      <c r="O40" t="str">
        <f>IF(Tabel_Samleark[[#This Row],[Punkt]]="","",IF(G40&lt;&gt;"","Ja","Nej"))</f>
        <v>Nej</v>
      </c>
      <c r="P40" s="57">
        <f ca="1">IF(Tabel_Samleark[[#This Row],[Overskriv faneværdier]]="Ja",$G40,IF($I40="Samleark",$F40,""))</f>
        <v>0</v>
      </c>
    </row>
    <row r="41" spans="2:16" x14ac:dyDescent="0.25">
      <c r="B41">
        <v>33011</v>
      </c>
      <c r="C41" t="s">
        <v>278</v>
      </c>
      <c r="D41" t="s">
        <v>279</v>
      </c>
      <c r="E41" s="67">
        <v>0.08</v>
      </c>
      <c r="F41" s="1">
        <f ca="1">SUM($F$19:$G$19)*$E41</f>
        <v>0</v>
      </c>
      <c r="I41" t="s">
        <v>301</v>
      </c>
      <c r="K41" t="str">
        <f t="shared" si="2"/>
        <v>3.3</v>
      </c>
      <c r="L41" t="str">
        <f>IFERROR(LEFT(Tabel_Samleark[[#This Row],[Punkt]],FIND(".",Tabel_Samleark[[#This Row],[Punkt]])-1),"")</f>
        <v>3</v>
      </c>
      <c r="M41">
        <f>IF(Tabel_Samleark[[#This Row],[Punkt]]="","",$B41)</f>
        <v>33011</v>
      </c>
      <c r="N41" t="str">
        <f>IF(Tabel_Samleark[[#This Row],[Punkt]]="","",$D41)</f>
        <v>Bæredygtighed (Certificeringsmulighed, materiale, komponenter mv.)</v>
      </c>
      <c r="O41" t="str">
        <f>IF(Tabel_Samleark[[#This Row],[Punkt]]="","",IF(G41&lt;&gt;"","Ja","Nej"))</f>
        <v>Nej</v>
      </c>
      <c r="P41" s="57">
        <f ca="1">IF(Tabel_Samleark[[#This Row],[Overskriv faneværdier]]="Ja",$G41,IF($I41="Samleark",$F41,""))</f>
        <v>0</v>
      </c>
    </row>
    <row r="42" spans="2:16" x14ac:dyDescent="0.25">
      <c r="K42" t="str">
        <f t="shared" si="2"/>
        <v/>
      </c>
      <c r="L42" t="str">
        <f>IFERROR(LEFT(Tabel_Samleark[[#This Row],[Punkt]],FIND(".",Tabel_Samleark[[#This Row],[Punkt]])-1),"")</f>
        <v/>
      </c>
      <c r="M42" t="str">
        <f>IF(Tabel_Samleark[[#This Row],[Punkt]]="","",$B42)</f>
        <v/>
      </c>
      <c r="N42" t="str">
        <f>IF(Tabel_Samleark[[#This Row],[Punkt]]="","",$D42)</f>
        <v/>
      </c>
      <c r="O42" t="str">
        <f>IF(Tabel_Samleark[[#This Row],[Punkt]]="","",IF(G42&lt;&gt;"","Ja","Nej"))</f>
        <v/>
      </c>
      <c r="P42" s="57" t="str">
        <f>IF(Tabel_Samleark[[#This Row],[Overskriv faneværdier]]="Ja",$G42,IF($I42="Samleark",$F42,""))</f>
        <v/>
      </c>
    </row>
    <row r="43" spans="2:16" x14ac:dyDescent="0.25">
      <c r="B43" s="43"/>
      <c r="C43" s="43" t="s">
        <v>415</v>
      </c>
      <c r="D43" s="43" t="s">
        <v>398</v>
      </c>
      <c r="E43" s="44" t="s">
        <v>298</v>
      </c>
      <c r="F43" s="45">
        <f ca="1">SUMIFS(F44:F45,$O44:$O45,"Nej")</f>
        <v>0</v>
      </c>
      <c r="G43" s="45">
        <f>SUM(G44:G45)</f>
        <v>0</v>
      </c>
      <c r="K43" t="str">
        <f>IF(I43="","",C43)</f>
        <v/>
      </c>
      <c r="L43" t="str">
        <f>IFERROR(LEFT(Tabel_Samleark[[#This Row],[Punkt]],FIND(".",Tabel_Samleark[[#This Row],[Punkt]])-1),"")</f>
        <v/>
      </c>
      <c r="M43" t="str">
        <f>IF(Tabel_Samleark[[#This Row],[Punkt]]="","",$B43)</f>
        <v/>
      </c>
      <c r="N43" t="str">
        <f>IF(Tabel_Samleark[[#This Row],[Punkt]]="","",$D43)</f>
        <v/>
      </c>
      <c r="O43" t="str">
        <f>IF(Tabel_Samleark[[#This Row],[Punkt]]="","",IF(G43&lt;&gt;"","Ja","Nej"))</f>
        <v/>
      </c>
      <c r="P43" s="57" t="str">
        <f>IF(Tabel_Samleark[[#This Row],[Overskriv faneværdier]]="Ja",$G43,IF($I43="Samleark",$F43,""))</f>
        <v/>
      </c>
    </row>
    <row r="44" spans="2:16" x14ac:dyDescent="0.25">
      <c r="B44">
        <v>41011</v>
      </c>
      <c r="C44" t="s">
        <v>208</v>
      </c>
      <c r="D44" t="s">
        <v>282</v>
      </c>
      <c r="E44" s="34" t="str">
        <f t="shared" ref="E44:E45" si="7">HYPERLINK("#"&amp;$I44&amp;"!Tabel_"&amp;$C44&amp;"_"&amp;IF($J44="Ja","Molio","SK")&amp;"[[Mængde]]",$I44)</f>
        <v>Inventar</v>
      </c>
      <c r="F44" s="1">
        <f t="shared" ref="F44" ca="1" si="8">SUM(INDIRECT("Tabel_"&amp;$C44&amp;"_SK[[m.
Den forventede værdi (middelværdi)]]"))
+IF($J44="Ja",SUM(INDIRECT("Tabel_"&amp;$C44&amp;"_Molio[[Beregnet budget]]")),0)</f>
        <v>0</v>
      </c>
      <c r="G44" s="38"/>
      <c r="I44" t="s">
        <v>243</v>
      </c>
      <c r="J44" t="s">
        <v>263</v>
      </c>
      <c r="K44" t="str">
        <f t="shared" si="2"/>
        <v>4.1</v>
      </c>
      <c r="L44" t="str">
        <f>IFERROR(LEFT(Tabel_Samleark[[#This Row],[Punkt]],FIND(".",Tabel_Samleark[[#This Row],[Punkt]])-1),"")</f>
        <v>4</v>
      </c>
      <c r="M44">
        <f>IF(Tabel_Samleark[[#This Row],[Punkt]]="","",$B44)</f>
        <v>41011</v>
      </c>
      <c r="N44" t="str">
        <f>IF(Tabel_Samleark[[#This Row],[Punkt]]="","",$D44)</f>
        <v>Løst Inventar</v>
      </c>
      <c r="O44" t="str">
        <f>IF(Tabel_Samleark[[#This Row],[Punkt]]="","",IF(G44&lt;&gt;"","Ja","Nej"))</f>
        <v>Nej</v>
      </c>
      <c r="P44" s="57" t="str">
        <f>IF(Tabel_Samleark[[#This Row],[Overskriv faneværdier]]="Ja",$G44,IF($I44="Samleark",$F44,""))</f>
        <v/>
      </c>
    </row>
    <row r="45" spans="2:16" x14ac:dyDescent="0.25">
      <c r="B45">
        <v>42011</v>
      </c>
      <c r="C45" t="s">
        <v>416</v>
      </c>
      <c r="D45" t="s">
        <v>283</v>
      </c>
      <c r="E45" s="34" t="str">
        <f t="shared" si="7"/>
        <v>Inventar</v>
      </c>
      <c r="F45" s="1">
        <f ca="1">SUM(INDIRECT("Tabel_"&amp;$C45&amp;"_SK[[m.
Den forventede værdi (middelværdi)]]"))
+IF($J45="Ja",SUM(INDIRECT("Tabel_"&amp;$C45&amp;"_Molio[[Beregnet budget]]")),0)</f>
        <v>0</v>
      </c>
      <c r="G45" s="38"/>
      <c r="I45" t="s">
        <v>243</v>
      </c>
      <c r="J45" t="s">
        <v>263</v>
      </c>
      <c r="K45" t="str">
        <f t="shared" si="2"/>
        <v>4.2</v>
      </c>
      <c r="L45" t="str">
        <f>IFERROR(LEFT(Tabel_Samleark[[#This Row],[Punkt]],FIND(".",Tabel_Samleark[[#This Row],[Punkt]])-1),"")</f>
        <v>4</v>
      </c>
      <c r="M45">
        <f>IF(Tabel_Samleark[[#This Row],[Punkt]]="","",$B45)</f>
        <v>42011</v>
      </c>
      <c r="N45" t="str">
        <f>IF(Tabel_Samleark[[#This Row],[Punkt]]="","",$D45)</f>
        <v>Fast Inventar</v>
      </c>
      <c r="O45" t="str">
        <f>IF(Tabel_Samleark[[#This Row],[Punkt]]="","",IF(G45&lt;&gt;"","Ja","Nej"))</f>
        <v>Nej</v>
      </c>
      <c r="P45" s="57" t="str">
        <f>IF(Tabel_Samleark[[#This Row],[Overskriv faneværdier]]="Ja",$G45,IF($I45="Samleark",$F45,""))</f>
        <v/>
      </c>
    </row>
    <row r="46" spans="2:16" x14ac:dyDescent="0.25">
      <c r="B46" s="43"/>
      <c r="C46" s="43" t="s">
        <v>424</v>
      </c>
      <c r="D46" s="43" t="s">
        <v>284</v>
      </c>
      <c r="E46" s="44" t="s">
        <v>300</v>
      </c>
      <c r="F46" s="45">
        <f ca="1">SUM(F47:F53)</f>
        <v>0</v>
      </c>
      <c r="G46" s="45"/>
      <c r="K46" t="str">
        <f t="shared" ref="K46:K51" si="9">IF(I46="","",C46)</f>
        <v/>
      </c>
      <c r="L46" t="str">
        <f>IFERROR(LEFT(Tabel_Samleark[[#This Row],[Punkt]],FIND(".",Tabel_Samleark[[#This Row],[Punkt]])-1),"")</f>
        <v/>
      </c>
      <c r="M46" t="str">
        <f>IF(Tabel_Samleark[[#This Row],[Punkt]]="","",$B46)</f>
        <v/>
      </c>
      <c r="N46" t="str">
        <f>IF(Tabel_Samleark[[#This Row],[Punkt]]="","",$D46)</f>
        <v/>
      </c>
      <c r="O46" t="str">
        <f>IF(Tabel_Samleark[[#This Row],[Punkt]]="","",IF(G46&lt;&gt;"","Ja","Nej"))</f>
        <v/>
      </c>
      <c r="P46" s="57" t="str">
        <f>IF(Tabel_Samleark[[#This Row],[Overskriv faneværdier]]="Ja",$G46,IF($I46="Samleark",$F46,""))</f>
        <v/>
      </c>
    </row>
    <row r="47" spans="2:16" x14ac:dyDescent="0.25">
      <c r="B47">
        <v>51011</v>
      </c>
      <c r="C47" t="s">
        <v>216</v>
      </c>
      <c r="D47" t="s">
        <v>290</v>
      </c>
      <c r="E47" s="67">
        <v>0.2</v>
      </c>
      <c r="F47" s="1">
        <f ca="1">SUM($F$18:$G$18)*$E47</f>
        <v>0</v>
      </c>
      <c r="I47" t="s">
        <v>301</v>
      </c>
      <c r="K47" t="str">
        <f t="shared" si="9"/>
        <v>5.1</v>
      </c>
      <c r="L47" t="str">
        <f>IFERROR(LEFT(Tabel_Samleark[[#This Row],[Punkt]],FIND(".",Tabel_Samleark[[#This Row],[Punkt]])-1),"")</f>
        <v>5</v>
      </c>
      <c r="M47">
        <f>IF(Tabel_Samleark[[#This Row],[Punkt]]="","",$B47)</f>
        <v>51011</v>
      </c>
      <c r="N47" t="str">
        <f>IF(Tabel_Samleark[[#This Row],[Punkt]]="","",$D47)</f>
        <v>Uforudsete udgifter</v>
      </c>
      <c r="O47" t="str">
        <f>IF(Tabel_Samleark[[#This Row],[Punkt]]="","",IF(G47&lt;&gt;"","Ja","Nej"))</f>
        <v>Nej</v>
      </c>
      <c r="P47" s="57">
        <f ca="1">IF(Tabel_Samleark[[#This Row],[Overskriv faneværdier]]="Ja",$G47,IF($I47="Samleark",$F47,""))</f>
        <v>0</v>
      </c>
    </row>
    <row r="48" spans="2:16" x14ac:dyDescent="0.25">
      <c r="B48">
        <v>52011</v>
      </c>
      <c r="C48" t="s">
        <v>425</v>
      </c>
      <c r="D48" t="s">
        <v>291</v>
      </c>
      <c r="E48" s="67">
        <v>0.2</v>
      </c>
      <c r="F48" s="1">
        <f ca="1">SUM($F$18:$G$18)*$E48</f>
        <v>0</v>
      </c>
      <c r="I48" t="s">
        <v>301</v>
      </c>
      <c r="K48" t="str">
        <f t="shared" si="9"/>
        <v>5.2</v>
      </c>
      <c r="L48" t="str">
        <f>IFERROR(LEFT(Tabel_Samleark[[#This Row],[Punkt]],FIND(".",Tabel_Samleark[[#This Row],[Punkt]])-1),"")</f>
        <v>5</v>
      </c>
      <c r="M48">
        <f>IF(Tabel_Samleark[[#This Row],[Punkt]]="","",$B48)</f>
        <v>52011</v>
      </c>
      <c r="N48" t="str">
        <f>IF(Tabel_Samleark[[#This Row],[Punkt]]="","",$D48)</f>
        <v>Rådgiverhonorar</v>
      </c>
      <c r="O48" t="str">
        <f>IF(Tabel_Samleark[[#This Row],[Punkt]]="","",IF(G48&lt;&gt;"","Ja","Nej"))</f>
        <v>Nej</v>
      </c>
      <c r="P48" s="57">
        <f ca="1">IF(Tabel_Samleark[[#This Row],[Overskriv faneværdier]]="Ja",$G48,IF($I48="Samleark",$F48,""))</f>
        <v>0</v>
      </c>
    </row>
    <row r="49" spans="2:16" x14ac:dyDescent="0.25">
      <c r="B49">
        <v>53011</v>
      </c>
      <c r="C49" t="s">
        <v>426</v>
      </c>
      <c r="D49" t="s">
        <v>292</v>
      </c>
      <c r="F49" s="38"/>
      <c r="I49" t="s">
        <v>301</v>
      </c>
      <c r="K49" t="str">
        <f t="shared" si="9"/>
        <v>5.3</v>
      </c>
      <c r="L49" t="str">
        <f>IFERROR(LEFT(Tabel_Samleark[[#This Row],[Punkt]],FIND(".",Tabel_Samleark[[#This Row],[Punkt]])-1),"")</f>
        <v>5</v>
      </c>
      <c r="M49">
        <f>IF(Tabel_Samleark[[#This Row],[Punkt]]="","",$B49)</f>
        <v>53011</v>
      </c>
      <c r="N49" t="str">
        <f>IF(Tabel_Samleark[[#This Row],[Punkt]]="","",$D49)</f>
        <v>DALUX</v>
      </c>
      <c r="O49" t="str">
        <f>IF(Tabel_Samleark[[#This Row],[Punkt]]="","",IF(G49&lt;&gt;"","Ja","Nej"))</f>
        <v>Nej</v>
      </c>
      <c r="P49" s="57">
        <f>IF(Tabel_Samleark[[#This Row],[Overskriv faneværdier]]="Ja",$G49,IF($I49="Samleark",$F49,""))</f>
        <v>0</v>
      </c>
    </row>
    <row r="50" spans="2:16" x14ac:dyDescent="0.25">
      <c r="B50">
        <v>54011</v>
      </c>
      <c r="C50" t="s">
        <v>427</v>
      </c>
      <c r="D50" t="s">
        <v>293</v>
      </c>
      <c r="F50" s="38"/>
      <c r="I50" t="s">
        <v>301</v>
      </c>
      <c r="K50" t="str">
        <f t="shared" si="9"/>
        <v>5.4</v>
      </c>
      <c r="L50" t="str">
        <f>IFERROR(LEFT(Tabel_Samleark[[#This Row],[Punkt]],FIND(".",Tabel_Samleark[[#This Row],[Punkt]])-1),"")</f>
        <v>5</v>
      </c>
      <c r="M50">
        <f>IF(Tabel_Samleark[[#This Row],[Punkt]]="","",$B50)</f>
        <v>54011</v>
      </c>
      <c r="N50" t="str">
        <f>IF(Tabel_Samleark[[#This Row],[Punkt]]="","",$D50)</f>
        <v>Rengøring</v>
      </c>
      <c r="O50" t="str">
        <f>IF(Tabel_Samleark[[#This Row],[Punkt]]="","",IF(G50&lt;&gt;"","Ja","Nej"))</f>
        <v>Nej</v>
      </c>
      <c r="P50" s="57">
        <f>IF(Tabel_Samleark[[#This Row],[Overskriv faneværdier]]="Ja",$G50,IF($I50="Samleark",$F50,""))</f>
        <v>0</v>
      </c>
    </row>
    <row r="51" spans="2:16" x14ac:dyDescent="0.25">
      <c r="B51">
        <v>55011</v>
      </c>
      <c r="C51" t="s">
        <v>428</v>
      </c>
      <c r="D51" t="s">
        <v>294</v>
      </c>
      <c r="F51" s="38"/>
      <c r="I51" t="s">
        <v>301</v>
      </c>
      <c r="K51" t="str">
        <f t="shared" si="9"/>
        <v>5.5</v>
      </c>
      <c r="L51" t="str">
        <f>IFERROR(LEFT(Tabel_Samleark[[#This Row],[Punkt]],FIND(".",Tabel_Samleark[[#This Row],[Punkt]])-1),"")</f>
        <v>5</v>
      </c>
      <c r="M51">
        <f>IF(Tabel_Samleark[[#This Row],[Punkt]]="","",$B51)</f>
        <v>55011</v>
      </c>
      <c r="N51" t="str">
        <f>IF(Tabel_Samleark[[#This Row],[Punkt]]="","",$D51)</f>
        <v>Myndighedsbehandling</v>
      </c>
      <c r="O51" t="str">
        <f>IF(Tabel_Samleark[[#This Row],[Punkt]]="","",IF(G51&lt;&gt;"","Ja","Nej"))</f>
        <v>Nej</v>
      </c>
      <c r="P51" s="57">
        <f>IF(Tabel_Samleark[[#This Row],[Overskriv faneværdier]]="Ja",$G51,IF($I51="Samleark",$F51,""))</f>
        <v>0</v>
      </c>
    </row>
    <row r="52" spans="2:16" x14ac:dyDescent="0.25">
      <c r="B52">
        <v>56011</v>
      </c>
      <c r="C52" t="s">
        <v>429</v>
      </c>
      <c r="D52" t="s">
        <v>321</v>
      </c>
      <c r="F52" s="38"/>
      <c r="I52" t="s">
        <v>301</v>
      </c>
      <c r="K52" t="str">
        <f>IF(I52="","",C52)</f>
        <v>5.6</v>
      </c>
      <c r="L52" t="str">
        <f>IFERROR(LEFT(Tabel_Samleark[[#This Row],[Punkt]],FIND(".",Tabel_Samleark[[#This Row],[Punkt]])-1),"")</f>
        <v>5</v>
      </c>
      <c r="M52">
        <f>IF(Tabel_Samleark[[#This Row],[Punkt]]="","",$B52)</f>
        <v>56011</v>
      </c>
      <c r="N52" t="str">
        <f>IF(Tabel_Samleark[[#This Row],[Punkt]]="","",$D52)</f>
        <v>Flytteomkostninger</v>
      </c>
      <c r="O52" t="str">
        <f>IF(Tabel_Samleark[[#This Row],[Punkt]]="","",IF(G52&lt;&gt;"","Ja","Nej"))</f>
        <v>Nej</v>
      </c>
      <c r="P52" s="57">
        <f>IF(Tabel_Samleark[[#This Row],[Overskriv faneværdier]]="Ja",$G52,IF($I52="Samleark",$F52,""))</f>
        <v>0</v>
      </c>
    </row>
    <row r="53" spans="2:16" x14ac:dyDescent="0.25">
      <c r="B53">
        <v>57011</v>
      </c>
      <c r="C53" t="s">
        <v>430</v>
      </c>
      <c r="D53" t="s">
        <v>322</v>
      </c>
      <c r="F53" s="38"/>
      <c r="I53" t="s">
        <v>301</v>
      </c>
      <c r="K53" t="str">
        <f>IF(I53="","",C53)</f>
        <v>5.7</v>
      </c>
      <c r="L53" t="str">
        <f>IFERROR(LEFT(Tabel_Samleark[[#This Row],[Punkt]],FIND(".",Tabel_Samleark[[#This Row],[Punkt]])-1),"")</f>
        <v>5</v>
      </c>
      <c r="M53">
        <f>IF(Tabel_Samleark[[#This Row],[Punkt]]="","",$B53)</f>
        <v>57011</v>
      </c>
      <c r="N53" t="str">
        <f>IF(Tabel_Samleark[[#This Row],[Punkt]]="","",$D53)</f>
        <v>Reetableringsomkostninger</v>
      </c>
      <c r="O53" t="str">
        <f>IF(Tabel_Samleark[[#This Row],[Punkt]]="","",IF(G53&lt;&gt;"","Ja","Nej"))</f>
        <v>Nej</v>
      </c>
      <c r="P53" s="57">
        <f>IF(Tabel_Samleark[[#This Row],[Overskriv faneværdier]]="Ja",$G53,IF($I53="Samleark",$F53,""))</f>
        <v>0</v>
      </c>
    </row>
    <row r="54" spans="2:16" x14ac:dyDescent="0.25">
      <c r="K54" t="str">
        <f t="shared" ref="K54:K55" si="10">IF(I54="","",C54)</f>
        <v/>
      </c>
      <c r="L54" t="str">
        <f>IFERROR(LEFT(Tabel_Samleark[[#This Row],[Punkt]],FIND(".",Tabel_Samleark[[#This Row],[Punkt]])-1),"")</f>
        <v/>
      </c>
      <c r="M54" t="str">
        <f>IF(Tabel_Samleark[[#This Row],[Punkt]]="","",$B54)</f>
        <v/>
      </c>
      <c r="N54" t="str">
        <f>IF(Tabel_Samleark[[#This Row],[Punkt]]="","",$D54)</f>
        <v/>
      </c>
      <c r="O54" t="str">
        <f>IF(Tabel_Samleark[[#This Row],[Punkt]]="","",IF(G54&lt;&gt;"","Ja","Nej"))</f>
        <v/>
      </c>
      <c r="P54" s="57" t="str">
        <f>IF(Tabel_Samleark[[#This Row],[Overskriv faneværdier]]="Ja",$G54,IF($I54="Samleark",$F54,""))</f>
        <v/>
      </c>
    </row>
    <row r="55" spans="2:16" x14ac:dyDescent="0.25">
      <c r="D55" t="s">
        <v>304</v>
      </c>
      <c r="F55" s="1">
        <f ca="1">ROUNDUP(SUM(F$18:G$18,F$43:G$43,F$46),-5)-SUM(F$18:G$18,F$43:G$43,F$46)</f>
        <v>0</v>
      </c>
      <c r="I55" t="s">
        <v>301</v>
      </c>
      <c r="K55">
        <f t="shared" si="10"/>
        <v>0</v>
      </c>
      <c r="L55" t="str">
        <f>IFERROR(LEFT(Tabel_Samleark[[#This Row],[Punkt]],FIND(".",Tabel_Samleark[[#This Row],[Punkt]])-1),"")</f>
        <v/>
      </c>
      <c r="M55">
        <f>IF(Tabel_Samleark[[#This Row],[Punkt]]="","",$B55)</f>
        <v>0</v>
      </c>
      <c r="N55" t="str">
        <f>IF(Tabel_Samleark[[#This Row],[Punkt]]="","",$D55)</f>
        <v>Oprunding til nærmeste 100.000 kr.</v>
      </c>
      <c r="O55" t="str">
        <f>IF(Tabel_Samleark[[#This Row],[Punkt]]="","",IF(G55&lt;&gt;"","Ja","Nej"))</f>
        <v>Nej</v>
      </c>
      <c r="P55" s="57">
        <f ca="1">IF(Tabel_Samleark[[#This Row],[Overskriv faneværdier]]="Ja",$G55,IF($I55="Samleark",$F55,""))</f>
        <v>0</v>
      </c>
    </row>
    <row r="56" spans="2:16" x14ac:dyDescent="0.25">
      <c r="B56" s="51"/>
      <c r="C56" s="51"/>
      <c r="D56" s="52" t="s">
        <v>454</v>
      </c>
      <c r="E56" s="70"/>
      <c r="F56" s="53">
        <f ca="1">SUM(F$18:G$18,F$43:G$43,F$46,F$55)</f>
        <v>0</v>
      </c>
      <c r="G56" s="71" t="str">
        <f>HYPERLINK("https://molio.dk/produkter/digitale-vaerktojer/gratis-vaerktojer/byggeriets-prisindekser/byggeomkostningsindeks-for-boliger-2015","Molios prisindeks")</f>
        <v>Molios prisindeks</v>
      </c>
    </row>
    <row r="57" spans="2:16" x14ac:dyDescent="0.25">
      <c r="D57" t="s">
        <v>455</v>
      </c>
      <c r="E57" s="55"/>
      <c r="F57" s="36" t="e">
        <f ca="1">F56/E56*E57</f>
        <v>#DIV/0!</v>
      </c>
    </row>
    <row r="58" spans="2:16" x14ac:dyDescent="0.25">
      <c r="D58" t="s">
        <v>296</v>
      </c>
      <c r="E58" s="56"/>
      <c r="F58" s="1" t="str">
        <f ca="1">IFERROR(ROUNDUP(F57/E58,-1),"")</f>
        <v/>
      </c>
    </row>
    <row r="60" spans="2:16" ht="20.25" thickBot="1" x14ac:dyDescent="0.35">
      <c r="B60" s="37" t="s">
        <v>323</v>
      </c>
      <c r="C60" s="37"/>
      <c r="D60" s="37"/>
      <c r="E60" s="37"/>
      <c r="F60" s="37"/>
      <c r="G60" s="37"/>
      <c r="K60" s="33" t="s">
        <v>323</v>
      </c>
    </row>
    <row r="61" spans="2:16" ht="15.75" thickTop="1" x14ac:dyDescent="0.25">
      <c r="C61" s="39" t="s">
        <v>324</v>
      </c>
      <c r="D61" s="33"/>
      <c r="E61" s="33" t="s">
        <v>325</v>
      </c>
      <c r="F61" s="33" t="s">
        <v>271</v>
      </c>
      <c r="G61" s="33" t="s">
        <v>326</v>
      </c>
      <c r="K61" t="s">
        <v>324</v>
      </c>
      <c r="L61" t="s">
        <v>325</v>
      </c>
    </row>
    <row r="62" spans="2:16" x14ac:dyDescent="0.25">
      <c r="C62" s="66">
        <f>YEAR(C9)</f>
        <v>1900</v>
      </c>
      <c r="E62" s="41"/>
      <c r="F62" s="1">
        <f ca="1">$F$56*$E62</f>
        <v>0</v>
      </c>
      <c r="G62" s="1">
        <f ca="1">F62*(1-$C$11)</f>
        <v>0</v>
      </c>
      <c r="K62">
        <f t="shared" ref="K62:K67" si="11">C62</f>
        <v>1900</v>
      </c>
      <c r="L62" s="40">
        <f t="shared" ref="L62:L67" si="12">E62</f>
        <v>0</v>
      </c>
    </row>
    <row r="63" spans="2:16" x14ac:dyDescent="0.25">
      <c r="C63" s="66">
        <f>C62+1</f>
        <v>1901</v>
      </c>
      <c r="E63" s="41"/>
      <c r="F63" s="1">
        <f ca="1">$F$56*$E63</f>
        <v>0</v>
      </c>
      <c r="G63" s="1">
        <f ca="1">F63*(1-$C$11)</f>
        <v>0</v>
      </c>
      <c r="K63">
        <f t="shared" si="11"/>
        <v>1901</v>
      </c>
      <c r="L63" s="40">
        <f t="shared" si="12"/>
        <v>0</v>
      </c>
    </row>
    <row r="64" spans="2:16" x14ac:dyDescent="0.25">
      <c r="C64" s="66">
        <f>C63+1</f>
        <v>1902</v>
      </c>
      <c r="E64" s="41"/>
      <c r="F64" s="1">
        <f t="shared" ref="F64:F67" ca="1" si="13">$F$56*$E64</f>
        <v>0</v>
      </c>
      <c r="G64" s="1">
        <f t="shared" ref="G64:G67" ca="1" si="14">F64*(1-$C$11)</f>
        <v>0</v>
      </c>
      <c r="K64">
        <f t="shared" si="11"/>
        <v>1902</v>
      </c>
      <c r="L64" s="40">
        <f t="shared" si="12"/>
        <v>0</v>
      </c>
    </row>
    <row r="65" spans="2:12" x14ac:dyDescent="0.25">
      <c r="C65" s="66">
        <f>C64+1</f>
        <v>1903</v>
      </c>
      <c r="E65" s="41"/>
      <c r="F65" s="1">
        <f t="shared" ca="1" si="13"/>
        <v>0</v>
      </c>
      <c r="G65" s="1">
        <f t="shared" ca="1" si="14"/>
        <v>0</v>
      </c>
      <c r="K65">
        <f t="shared" si="11"/>
        <v>1903</v>
      </c>
      <c r="L65" s="40">
        <f t="shared" si="12"/>
        <v>0</v>
      </c>
    </row>
    <row r="66" spans="2:12" x14ac:dyDescent="0.25">
      <c r="C66" s="66">
        <f>C65+1</f>
        <v>1904</v>
      </c>
      <c r="E66" s="41"/>
      <c r="F66" s="1">
        <f t="shared" ca="1" si="13"/>
        <v>0</v>
      </c>
      <c r="G66" s="1">
        <f t="shared" ca="1" si="14"/>
        <v>0</v>
      </c>
      <c r="K66">
        <f t="shared" si="11"/>
        <v>1904</v>
      </c>
      <c r="L66" s="40">
        <f t="shared" si="12"/>
        <v>0</v>
      </c>
    </row>
    <row r="67" spans="2:12" x14ac:dyDescent="0.25">
      <c r="C67" s="66">
        <f>C66+1</f>
        <v>1905</v>
      </c>
      <c r="E67" s="41"/>
      <c r="F67" s="1">
        <f t="shared" ca="1" si="13"/>
        <v>0</v>
      </c>
      <c r="G67" s="1">
        <f t="shared" ca="1" si="14"/>
        <v>0</v>
      </c>
      <c r="K67">
        <f t="shared" si="11"/>
        <v>1905</v>
      </c>
      <c r="L67" s="40">
        <f t="shared" si="12"/>
        <v>0</v>
      </c>
    </row>
    <row r="68" spans="2:12" x14ac:dyDescent="0.25">
      <c r="B68" s="33"/>
      <c r="C68" s="33"/>
      <c r="D68" s="33"/>
      <c r="E68" s="62">
        <f>SUM(E62:E67)</f>
        <v>0</v>
      </c>
      <c r="F68" s="36">
        <f ca="1">SUM(F62:F67)</f>
        <v>0</v>
      </c>
      <c r="G68" s="36">
        <f ca="1">SUM(G62:G67)</f>
        <v>0</v>
      </c>
    </row>
  </sheetData>
  <mergeCells count="3">
    <mergeCell ref="C3:D3"/>
    <mergeCell ref="C4:D4"/>
    <mergeCell ref="C12:D12"/>
  </mergeCells>
  <phoneticPr fontId="20" type="noConversion"/>
  <conditionalFormatting sqref="F18:F58">
    <cfRule type="expression" dxfId="1" priority="3">
      <formula>O18="Ja"</formula>
    </cfRule>
  </conditionalFormatting>
  <conditionalFormatting sqref="G56">
    <cfRule type="expression" dxfId="0" priority="1">
      <formula>#REF!="Ja"</formula>
    </cfRule>
  </conditionalFormatting>
  <dataValidations count="2">
    <dataValidation type="whole" operator="greaterThanOrEqual" allowBlank="1" showInputMessage="1" showErrorMessage="1" sqref="G44:G45 G34:G36 G22:G31 F49:G53" xr:uid="{0E2F6BFC-E402-4267-8688-1F4D35590F9F}">
      <formula1>0</formula1>
    </dataValidation>
    <dataValidation type="list" allowBlank="1" showInputMessage="1" showErrorMessage="1" sqref="C6" xr:uid="{5A63E20E-C25F-4F06-B464-5CE73413198B}">
      <formula1>"Fase 0,Fase 1,Fase 2,Fase 3,Fase 4"</formula1>
    </dataValidation>
  </dataValidations>
  <pageMargins left="0.70866141732283472" right="0.70866141732283472" top="0.74803149606299213" bottom="0.74803149606299213" header="0.31496062992125984" footer="0.31496062992125984"/>
  <pageSetup paperSize="9" scale="45" orientation="portrait" cellComments="asDisplayed" r:id="rId1"/>
  <headerFooter>
    <oddHeader>&amp;L&amp;G</oddHeader>
    <oddFooter>&amp;RAU Bygninger
Udarbejdet af: MOSA</oddFooter>
  </headerFooter>
  <drawing r:id="rId2"/>
  <legacyDrawing r:id="rId3"/>
  <legacyDrawingHF r:id="rId4"/>
  <tableParts count="3">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DEB91-69BB-43CC-AFE4-747F99F9EEA9}">
  <sheetPr>
    <tabColor rgb="FF92D050"/>
    <pageSetUpPr fitToPage="1"/>
  </sheetPr>
  <dimension ref="A2:L36"/>
  <sheetViews>
    <sheetView showGridLines="0" view="pageBreakPreview" zoomScaleNormal="70" zoomScaleSheetLayoutView="100" workbookViewId="0">
      <selection activeCell="E7" sqref="E7"/>
    </sheetView>
  </sheetViews>
  <sheetFormatPr defaultColWidth="0" defaultRowHeight="15" x14ac:dyDescent="0.25"/>
  <cols>
    <col min="1" max="1" width="2.7109375" customWidth="1"/>
    <col min="2" max="2" width="7.5703125" bestFit="1" customWidth="1"/>
    <col min="3" max="3" width="51" bestFit="1" customWidth="1"/>
    <col min="4" max="4" width="10.85546875" customWidth="1"/>
    <col min="5" max="5" width="9.140625" customWidth="1"/>
    <col min="6" max="8" width="26.7109375" customWidth="1"/>
    <col min="9" max="11" width="20.7109375" customWidth="1"/>
    <col min="12" max="12" width="2.7109375" customWidth="1"/>
    <col min="13" max="16384" width="9.140625" hidden="1"/>
  </cols>
  <sheetData>
    <row r="2" spans="2:11" ht="20.25" thickBot="1" x14ac:dyDescent="0.35">
      <c r="B2" s="31" t="s">
        <v>26</v>
      </c>
      <c r="C2" s="31" t="s">
        <v>220</v>
      </c>
      <c r="D2" s="31"/>
      <c r="E2" s="31"/>
      <c r="F2" s="31"/>
      <c r="G2" s="31"/>
      <c r="H2" s="31"/>
      <c r="I2" s="31"/>
      <c r="J2" s="31"/>
      <c r="K2" s="31"/>
    </row>
    <row r="3" spans="2:11" ht="15.75" thickTop="1" x14ac:dyDescent="0.25"/>
    <row r="4" spans="2:11" x14ac:dyDescent="0.25">
      <c r="B4" s="114" t="s">
        <v>6</v>
      </c>
      <c r="C4" s="115"/>
      <c r="D4" s="115"/>
      <c r="E4" s="115"/>
      <c r="F4" s="115"/>
      <c r="G4" s="115"/>
      <c r="H4" s="115"/>
      <c r="I4" s="116" t="s">
        <v>7</v>
      </c>
      <c r="J4" s="117"/>
      <c r="K4" s="118"/>
    </row>
    <row r="5" spans="2:11" x14ac:dyDescent="0.25">
      <c r="B5" s="3"/>
      <c r="C5" s="4"/>
      <c r="D5" s="3"/>
      <c r="E5" s="4"/>
      <c r="F5" s="109" t="s">
        <v>30</v>
      </c>
      <c r="G5" s="110"/>
      <c r="H5" s="111"/>
      <c r="I5" s="112" t="s">
        <v>31</v>
      </c>
      <c r="J5" s="112"/>
      <c r="K5" s="113"/>
    </row>
    <row r="6" spans="2:11" ht="75" x14ac:dyDescent="0.25">
      <c r="B6" s="5" t="s">
        <v>268</v>
      </c>
      <c r="C6" s="6" t="s">
        <v>0</v>
      </c>
      <c r="D6" s="5" t="s">
        <v>1</v>
      </c>
      <c r="E6" s="6" t="s">
        <v>2</v>
      </c>
      <c r="F6" s="9" t="s">
        <v>27</v>
      </c>
      <c r="G6" s="2" t="s">
        <v>28</v>
      </c>
      <c r="H6" s="10" t="s">
        <v>29</v>
      </c>
      <c r="I6" s="14" t="s">
        <v>3</v>
      </c>
      <c r="J6" s="15" t="s">
        <v>4</v>
      </c>
      <c r="K6" s="16" t="s">
        <v>5</v>
      </c>
    </row>
    <row r="7" spans="2:11" x14ac:dyDescent="0.25">
      <c r="B7" s="19" t="s">
        <v>8</v>
      </c>
      <c r="C7" s="20" t="s">
        <v>9</v>
      </c>
      <c r="D7" s="21"/>
      <c r="E7" s="20"/>
      <c r="F7" s="22"/>
      <c r="G7" s="23"/>
      <c r="H7" s="24"/>
      <c r="I7" s="11">
        <f>Tabel_1.1_SK[[#This Row],[Mængde]]*(Tabel_1.1_SK[[#This Row],[a. 
Den absolut mindste enhedspris, der forekommer mulig
(Optimistisk)]]
+3*Tabel_1.1_SK[[#This Row],[b. 
Den mest sandsynlige enhedspris]]
+Tabel_1.1_SK[[#This Row],[c. 
Den absolut størst tænkelige enhedspris
(pessimistisk)]])/5</f>
        <v>0</v>
      </c>
      <c r="J7" s="1">
        <f>Tabel_1.1_SK[[#This Row],[Mængde]]*(Tabel_1.1_SK[[#This Row],[c. 
Den absolut størst tænkelige enhedspris
(pessimistisk)]]
-Tabel_1.1_SK[[#This Row],[a. 
Den absolut mindste enhedspris, der forekommer mulig
(Optimistisk)]])/5</f>
        <v>0</v>
      </c>
      <c r="K7" s="12">
        <f>Tabel_1.1_SK[[#This Row],[s.
spredningen
(standardafvigelsen)]]^2*0.000001</f>
        <v>0</v>
      </c>
    </row>
    <row r="8" spans="2:11" x14ac:dyDescent="0.25">
      <c r="B8" s="19" t="s">
        <v>10</v>
      </c>
      <c r="C8" s="20" t="s">
        <v>11</v>
      </c>
      <c r="D8" s="21"/>
      <c r="E8" s="20"/>
      <c r="F8" s="22"/>
      <c r="G8" s="23"/>
      <c r="H8" s="24"/>
      <c r="I8" s="11">
        <f>Tabel_1.1_SK[[#This Row],[Mængde]]*(Tabel_1.1_SK[[#This Row],[a. 
Den absolut mindste enhedspris, der forekommer mulig
(Optimistisk)]]
+3*Tabel_1.1_SK[[#This Row],[b. 
Den mest sandsynlige enhedspris]]
+Tabel_1.1_SK[[#This Row],[c. 
Den absolut størst tænkelige enhedspris
(pessimistisk)]])/5</f>
        <v>0</v>
      </c>
      <c r="J8" s="1">
        <f>Tabel_1.1_SK[[#This Row],[Mængde]]*(Tabel_1.1_SK[[#This Row],[c. 
Den absolut størst tænkelige enhedspris
(pessimistisk)]]
-Tabel_1.1_SK[[#This Row],[a. 
Den absolut mindste enhedspris, der forekommer mulig
(Optimistisk)]])/5</f>
        <v>0</v>
      </c>
      <c r="K8" s="12">
        <f>Tabel_1.1_SK[[#This Row],[s.
spredningen
(standardafvigelsen)]]^2*0.000001</f>
        <v>0</v>
      </c>
    </row>
    <row r="9" spans="2:11" x14ac:dyDescent="0.25">
      <c r="B9" s="19" t="s">
        <v>12</v>
      </c>
      <c r="C9" s="20" t="s">
        <v>13</v>
      </c>
      <c r="D9" s="21"/>
      <c r="E9" s="20"/>
      <c r="F9" s="22"/>
      <c r="G9" s="23"/>
      <c r="H9" s="24"/>
      <c r="I9" s="11">
        <f>Tabel_1.1_SK[[#This Row],[Mængde]]*(Tabel_1.1_SK[[#This Row],[a. 
Den absolut mindste enhedspris, der forekommer mulig
(Optimistisk)]]
+3*Tabel_1.1_SK[[#This Row],[b. 
Den mest sandsynlige enhedspris]]
+Tabel_1.1_SK[[#This Row],[c. 
Den absolut størst tænkelige enhedspris
(pessimistisk)]])/5</f>
        <v>0</v>
      </c>
      <c r="J9" s="1">
        <f>Tabel_1.1_SK[[#This Row],[Mængde]]*(Tabel_1.1_SK[[#This Row],[c. 
Den absolut størst tænkelige enhedspris
(pessimistisk)]]
-Tabel_1.1_SK[[#This Row],[a. 
Den absolut mindste enhedspris, der forekommer mulig
(Optimistisk)]])/5</f>
        <v>0</v>
      </c>
      <c r="K9" s="12">
        <f>Tabel_1.1_SK[[#This Row],[s.
spredningen
(standardafvigelsen)]]^2*0.000001</f>
        <v>0</v>
      </c>
    </row>
    <row r="10" spans="2:11" x14ac:dyDescent="0.25">
      <c r="B10" s="19" t="s">
        <v>14</v>
      </c>
      <c r="C10" s="20" t="s">
        <v>15</v>
      </c>
      <c r="D10" s="21"/>
      <c r="E10" s="20"/>
      <c r="F10" s="22"/>
      <c r="G10" s="23"/>
      <c r="H10" s="24"/>
      <c r="I10" s="11">
        <f>Tabel_1.1_SK[[#This Row],[Mængde]]*(Tabel_1.1_SK[[#This Row],[a. 
Den absolut mindste enhedspris, der forekommer mulig
(Optimistisk)]]
+3*Tabel_1.1_SK[[#This Row],[b. 
Den mest sandsynlige enhedspris]]
+Tabel_1.1_SK[[#This Row],[c. 
Den absolut størst tænkelige enhedspris
(pessimistisk)]])/5</f>
        <v>0</v>
      </c>
      <c r="J10" s="1">
        <f>Tabel_1.1_SK[[#This Row],[Mængde]]*(Tabel_1.1_SK[[#This Row],[c. 
Den absolut størst tænkelige enhedspris
(pessimistisk)]]
-Tabel_1.1_SK[[#This Row],[a. 
Den absolut mindste enhedspris, der forekommer mulig
(Optimistisk)]])/5</f>
        <v>0</v>
      </c>
      <c r="K10" s="12">
        <f>Tabel_1.1_SK[[#This Row],[s.
spredningen
(standardafvigelsen)]]^2*0.000001</f>
        <v>0</v>
      </c>
    </row>
    <row r="11" spans="2:11" x14ac:dyDescent="0.25">
      <c r="B11" s="19" t="s">
        <v>16</v>
      </c>
      <c r="C11" s="20" t="s">
        <v>17</v>
      </c>
      <c r="D11" s="21"/>
      <c r="E11" s="20"/>
      <c r="F11" s="22"/>
      <c r="G11" s="23"/>
      <c r="H11" s="24"/>
      <c r="I11" s="11">
        <f>Tabel_1.1_SK[[#This Row],[Mængde]]*(Tabel_1.1_SK[[#This Row],[a. 
Den absolut mindste enhedspris, der forekommer mulig
(Optimistisk)]]
+3*Tabel_1.1_SK[[#This Row],[b. 
Den mest sandsynlige enhedspris]]
+Tabel_1.1_SK[[#This Row],[c. 
Den absolut størst tænkelige enhedspris
(pessimistisk)]])/5</f>
        <v>0</v>
      </c>
      <c r="J11" s="1">
        <f>Tabel_1.1_SK[[#This Row],[Mængde]]*(Tabel_1.1_SK[[#This Row],[c. 
Den absolut størst tænkelige enhedspris
(pessimistisk)]]
-Tabel_1.1_SK[[#This Row],[a. 
Den absolut mindste enhedspris, der forekommer mulig
(Optimistisk)]])/5</f>
        <v>0</v>
      </c>
      <c r="K11" s="12">
        <f>Tabel_1.1_SK[[#This Row],[s.
spredningen
(standardafvigelsen)]]^2*0.000001</f>
        <v>0</v>
      </c>
    </row>
    <row r="12" spans="2:11" x14ac:dyDescent="0.25">
      <c r="B12" s="19" t="s">
        <v>18</v>
      </c>
      <c r="C12" s="20" t="s">
        <v>19</v>
      </c>
      <c r="D12" s="21"/>
      <c r="E12" s="20"/>
      <c r="F12" s="22"/>
      <c r="G12" s="23"/>
      <c r="H12" s="24"/>
      <c r="I12" s="11">
        <f>Tabel_1.1_SK[[#This Row],[Mængde]]*(Tabel_1.1_SK[[#This Row],[a. 
Den absolut mindste enhedspris, der forekommer mulig
(Optimistisk)]]
+3*Tabel_1.1_SK[[#This Row],[b. 
Den mest sandsynlige enhedspris]]
+Tabel_1.1_SK[[#This Row],[c. 
Den absolut størst tænkelige enhedspris
(pessimistisk)]])/5</f>
        <v>0</v>
      </c>
      <c r="J12" s="1">
        <f>Tabel_1.1_SK[[#This Row],[Mængde]]*(Tabel_1.1_SK[[#This Row],[c. 
Den absolut størst tænkelige enhedspris
(pessimistisk)]]
-Tabel_1.1_SK[[#This Row],[a. 
Den absolut mindste enhedspris, der forekommer mulig
(Optimistisk)]])/5</f>
        <v>0</v>
      </c>
      <c r="K12" s="12">
        <f>Tabel_1.1_SK[[#This Row],[s.
spredningen
(standardafvigelsen)]]^2*0.000001</f>
        <v>0</v>
      </c>
    </row>
    <row r="13" spans="2:11" x14ac:dyDescent="0.25">
      <c r="B13" s="19" t="s">
        <v>20</v>
      </c>
      <c r="C13" s="20" t="s">
        <v>21</v>
      </c>
      <c r="D13" s="21"/>
      <c r="E13" s="20"/>
      <c r="F13" s="22"/>
      <c r="G13" s="23"/>
      <c r="H13" s="24"/>
      <c r="I13" s="11">
        <f>Tabel_1.1_SK[[#This Row],[Mængde]]*(Tabel_1.1_SK[[#This Row],[a. 
Den absolut mindste enhedspris, der forekommer mulig
(Optimistisk)]]
+3*Tabel_1.1_SK[[#This Row],[b. 
Den mest sandsynlige enhedspris]]
+Tabel_1.1_SK[[#This Row],[c. 
Den absolut størst tænkelige enhedspris
(pessimistisk)]])/5</f>
        <v>0</v>
      </c>
      <c r="J13" s="1">
        <f>Tabel_1.1_SK[[#This Row],[Mængde]]*(Tabel_1.1_SK[[#This Row],[c. 
Den absolut størst tænkelige enhedspris
(pessimistisk)]]
-Tabel_1.1_SK[[#This Row],[a. 
Den absolut mindste enhedspris, der forekommer mulig
(Optimistisk)]])/5</f>
        <v>0</v>
      </c>
      <c r="K13" s="12">
        <f>Tabel_1.1_SK[[#This Row],[s.
spredningen
(standardafvigelsen)]]^2*0.000001</f>
        <v>0</v>
      </c>
    </row>
    <row r="14" spans="2:11" x14ac:dyDescent="0.25">
      <c r="B14" s="19" t="s">
        <v>22</v>
      </c>
      <c r="C14" s="20" t="s">
        <v>23</v>
      </c>
      <c r="D14" s="21"/>
      <c r="E14" s="20"/>
      <c r="F14" s="22"/>
      <c r="G14" s="23"/>
      <c r="H14" s="24"/>
      <c r="I14" s="11">
        <f>Tabel_1.1_SK[[#This Row],[Mængde]]*(Tabel_1.1_SK[[#This Row],[a. 
Den absolut mindste enhedspris, der forekommer mulig
(Optimistisk)]]
+3*Tabel_1.1_SK[[#This Row],[b. 
Den mest sandsynlige enhedspris]]
+Tabel_1.1_SK[[#This Row],[c. 
Den absolut størst tænkelige enhedspris
(pessimistisk)]])/5</f>
        <v>0</v>
      </c>
      <c r="J14" s="1">
        <f>Tabel_1.1_SK[[#This Row],[Mængde]]*(Tabel_1.1_SK[[#This Row],[c. 
Den absolut størst tænkelige enhedspris
(pessimistisk)]]
-Tabel_1.1_SK[[#This Row],[a. 
Den absolut mindste enhedspris, der forekommer mulig
(Optimistisk)]])/5</f>
        <v>0</v>
      </c>
      <c r="K14" s="12">
        <f>Tabel_1.1_SK[[#This Row],[s.
spredningen
(standardafvigelsen)]]^2*0.000001</f>
        <v>0</v>
      </c>
    </row>
    <row r="15" spans="2:11" x14ac:dyDescent="0.25">
      <c r="B15" s="19"/>
      <c r="C15" s="20"/>
      <c r="D15" s="21"/>
      <c r="E15" s="20"/>
      <c r="F15" s="22"/>
      <c r="G15" s="23"/>
      <c r="H15" s="24"/>
      <c r="I15" s="11">
        <f>Tabel_1.1_SK[[#This Row],[Mængde]]*(Tabel_1.1_SK[[#This Row],[a. 
Den absolut mindste enhedspris, der forekommer mulig
(Optimistisk)]]
+3*Tabel_1.1_SK[[#This Row],[b. 
Den mest sandsynlige enhedspris]]
+Tabel_1.1_SK[[#This Row],[c. 
Den absolut størst tænkelige enhedspris
(pessimistisk)]])/5</f>
        <v>0</v>
      </c>
      <c r="J15" s="1">
        <f>Tabel_1.1_SK[[#This Row],[Mængde]]*(Tabel_1.1_SK[[#This Row],[c. 
Den absolut størst tænkelige enhedspris
(pessimistisk)]]
-Tabel_1.1_SK[[#This Row],[a. 
Den absolut mindste enhedspris, der forekommer mulig
(Optimistisk)]])/5</f>
        <v>0</v>
      </c>
      <c r="K15" s="12">
        <f>Tabel_1.1_SK[[#This Row],[s.
spredningen
(standardafvigelsen)]]^2*0.000001</f>
        <v>0</v>
      </c>
    </row>
    <row r="16" spans="2:11" x14ac:dyDescent="0.25">
      <c r="B16" s="7" t="s">
        <v>26</v>
      </c>
      <c r="C16" s="8" t="s">
        <v>61</v>
      </c>
      <c r="D16" s="7"/>
      <c r="E16" s="8"/>
      <c r="F16" s="7"/>
      <c r="G16" s="13"/>
      <c r="H16" s="8"/>
      <c r="I16" s="17">
        <f>SUBTOTAL(109,Tabel_1.1_SK[m.
Den forventede værdi (middelværdi)])</f>
        <v>0</v>
      </c>
      <c r="J16" s="13"/>
      <c r="K16" s="18">
        <f>SUBTOTAL(109,Tabel_1.1_SK[v.
varians (s2x10-7)])</f>
        <v>0</v>
      </c>
    </row>
    <row r="18" spans="2:11" ht="18.75" x14ac:dyDescent="0.3">
      <c r="C18" s="35" t="str">
        <f>HYPERLINK("#Samleark!RangeBudgetStart","Til Samleark")</f>
        <v>Til Samleark</v>
      </c>
      <c r="F18" s="35" t="str">
        <f>HYPERLINK("#Vejledning!RangeVejledningStart","Til Vejledning")</f>
        <v>Til Vejledning</v>
      </c>
    </row>
    <row r="20" spans="2:11" ht="20.25" thickBot="1" x14ac:dyDescent="0.35">
      <c r="B20" s="31" t="s">
        <v>40</v>
      </c>
      <c r="C20" s="31" t="s">
        <v>221</v>
      </c>
      <c r="D20" s="31"/>
      <c r="E20" s="31"/>
      <c r="F20" s="31"/>
      <c r="G20" s="31"/>
      <c r="H20" s="31"/>
      <c r="I20" s="31"/>
      <c r="J20" s="31"/>
      <c r="K20" s="31"/>
    </row>
    <row r="21" spans="2:11" ht="15.75" thickTop="1" x14ac:dyDescent="0.25"/>
    <row r="22" spans="2:11" x14ac:dyDescent="0.25">
      <c r="B22" s="114" t="s">
        <v>6</v>
      </c>
      <c r="C22" s="115"/>
      <c r="D22" s="115"/>
      <c r="E22" s="115"/>
      <c r="F22" s="115"/>
      <c r="G22" s="115"/>
      <c r="H22" s="115"/>
      <c r="I22" s="116" t="s">
        <v>7</v>
      </c>
      <c r="J22" s="117"/>
      <c r="K22" s="118"/>
    </row>
    <row r="23" spans="2:11" x14ac:dyDescent="0.25">
      <c r="B23" s="3"/>
      <c r="C23" s="4"/>
      <c r="D23" s="3"/>
      <c r="E23" s="4"/>
      <c r="F23" s="109" t="s">
        <v>30</v>
      </c>
      <c r="G23" s="110"/>
      <c r="H23" s="111"/>
      <c r="I23" s="112" t="s">
        <v>31</v>
      </c>
      <c r="J23" s="112"/>
      <c r="K23" s="113"/>
    </row>
    <row r="24" spans="2:11" ht="75" x14ac:dyDescent="0.25">
      <c r="B24" s="5" t="s">
        <v>268</v>
      </c>
      <c r="C24" s="6" t="s">
        <v>0</v>
      </c>
      <c r="D24" s="5" t="s">
        <v>1</v>
      </c>
      <c r="E24" s="6" t="s">
        <v>2</v>
      </c>
      <c r="F24" s="9" t="s">
        <v>27</v>
      </c>
      <c r="G24" s="2" t="s">
        <v>28</v>
      </c>
      <c r="H24" s="10" t="s">
        <v>29</v>
      </c>
      <c r="I24" s="14" t="s">
        <v>3</v>
      </c>
      <c r="J24" s="15" t="s">
        <v>4</v>
      </c>
      <c r="K24" s="16" t="s">
        <v>5</v>
      </c>
    </row>
    <row r="25" spans="2:11" x14ac:dyDescent="0.25">
      <c r="B25" s="19" t="s">
        <v>32</v>
      </c>
      <c r="C25" s="20" t="s">
        <v>33</v>
      </c>
      <c r="D25" s="21"/>
      <c r="E25" s="20"/>
      <c r="F25" s="22"/>
      <c r="G25" s="23"/>
      <c r="H25" s="24"/>
      <c r="I25" s="11">
        <f>Tabel_2.1_SK[[#This Row],[Mængde]]*(Tabel_2.1_SK[[#This Row],[a. 
Den absolut mindste enhedspris, der forekommer mulig
(Optimistisk)]]
+3*Tabel_2.1_SK[[#This Row],[b. 
Den mest sandsynlige enhedspris]]
+Tabel_2.1_SK[[#This Row],[c. 
Den absolut størst tænkelige enhedspris
(pessimistisk)]])/5</f>
        <v>0</v>
      </c>
      <c r="J25" s="1">
        <f>Tabel_2.1_SK[[#This Row],[Mængde]]*(Tabel_2.1_SK[[#This Row],[c. 
Den absolut størst tænkelige enhedspris
(pessimistisk)]]
-Tabel_2.1_SK[[#This Row],[a. 
Den absolut mindste enhedspris, der forekommer mulig
(Optimistisk)]])/5</f>
        <v>0</v>
      </c>
      <c r="K25" s="12">
        <f>Tabel_2.1_SK[[#This Row],[s.
spredningen
(standardafvigelsen)]]^2*0.000001</f>
        <v>0</v>
      </c>
    </row>
    <row r="26" spans="2:11" x14ac:dyDescent="0.25">
      <c r="B26" s="19" t="s">
        <v>34</v>
      </c>
      <c r="C26" s="20" t="s">
        <v>35</v>
      </c>
      <c r="D26" s="21"/>
      <c r="E26" s="20"/>
      <c r="F26" s="22"/>
      <c r="G26" s="23"/>
      <c r="H26" s="24"/>
      <c r="I26" s="11">
        <f>Tabel_2.1_SK[[#This Row],[Mængde]]*(Tabel_2.1_SK[[#This Row],[a. 
Den absolut mindste enhedspris, der forekommer mulig
(Optimistisk)]]
+3*Tabel_2.1_SK[[#This Row],[b. 
Den mest sandsynlige enhedspris]]
+Tabel_2.1_SK[[#This Row],[c. 
Den absolut størst tænkelige enhedspris
(pessimistisk)]])/5</f>
        <v>0</v>
      </c>
      <c r="J26" s="1">
        <f>Tabel_2.1_SK[[#This Row],[Mængde]]*(Tabel_2.1_SK[[#This Row],[c. 
Den absolut størst tænkelige enhedspris
(pessimistisk)]]
-Tabel_2.1_SK[[#This Row],[a. 
Den absolut mindste enhedspris, der forekommer mulig
(Optimistisk)]])/5</f>
        <v>0</v>
      </c>
      <c r="K26" s="12">
        <f>Tabel_2.1_SK[[#This Row],[s.
spredningen
(standardafvigelsen)]]^2*0.000001</f>
        <v>0</v>
      </c>
    </row>
    <row r="27" spans="2:11" x14ac:dyDescent="0.25">
      <c r="B27" s="19" t="s">
        <v>36</v>
      </c>
      <c r="C27" s="20" t="s">
        <v>23</v>
      </c>
      <c r="D27" s="21"/>
      <c r="E27" s="20"/>
      <c r="F27" s="22"/>
      <c r="G27" s="23"/>
      <c r="H27" s="24"/>
      <c r="I27" s="11">
        <f>Tabel_2.1_SK[[#This Row],[Mængde]]*(Tabel_2.1_SK[[#This Row],[a. 
Den absolut mindste enhedspris, der forekommer mulig
(Optimistisk)]]
+3*Tabel_2.1_SK[[#This Row],[b. 
Den mest sandsynlige enhedspris]]
+Tabel_2.1_SK[[#This Row],[c. 
Den absolut størst tænkelige enhedspris
(pessimistisk)]])/5</f>
        <v>0</v>
      </c>
      <c r="J27" s="1">
        <f>Tabel_2.1_SK[[#This Row],[Mængde]]*(Tabel_2.1_SK[[#This Row],[c. 
Den absolut størst tænkelige enhedspris
(pessimistisk)]]
-Tabel_2.1_SK[[#This Row],[a. 
Den absolut mindste enhedspris, der forekommer mulig
(Optimistisk)]])/5</f>
        <v>0</v>
      </c>
      <c r="K27" s="12">
        <f>Tabel_2.1_SK[[#This Row],[s.
spredningen
(standardafvigelsen)]]^2*0.000001</f>
        <v>0</v>
      </c>
    </row>
    <row r="28" spans="2:11" x14ac:dyDescent="0.25">
      <c r="B28" s="19" t="s">
        <v>37</v>
      </c>
      <c r="C28" s="20"/>
      <c r="D28" s="21"/>
      <c r="E28" s="20"/>
      <c r="F28" s="22"/>
      <c r="G28" s="23"/>
      <c r="H28" s="24"/>
      <c r="I28" s="11">
        <f>Tabel_2.1_SK[[#This Row],[Mængde]]*(Tabel_2.1_SK[[#This Row],[a. 
Den absolut mindste enhedspris, der forekommer mulig
(Optimistisk)]]
+3*Tabel_2.1_SK[[#This Row],[b. 
Den mest sandsynlige enhedspris]]
+Tabel_2.1_SK[[#This Row],[c. 
Den absolut størst tænkelige enhedspris
(pessimistisk)]])/5</f>
        <v>0</v>
      </c>
      <c r="J28" s="1">
        <f>Tabel_2.1_SK[[#This Row],[Mængde]]*(Tabel_2.1_SK[[#This Row],[c. 
Den absolut størst tænkelige enhedspris
(pessimistisk)]]
-Tabel_2.1_SK[[#This Row],[a. 
Den absolut mindste enhedspris, der forekommer mulig
(Optimistisk)]])/5</f>
        <v>0</v>
      </c>
      <c r="K28" s="12">
        <f>Tabel_2.1_SK[[#This Row],[s.
spredningen
(standardafvigelsen)]]^2*0.000001</f>
        <v>0</v>
      </c>
    </row>
    <row r="29" spans="2:11" x14ac:dyDescent="0.25">
      <c r="B29" s="19" t="s">
        <v>38</v>
      </c>
      <c r="C29" s="20"/>
      <c r="D29" s="21"/>
      <c r="E29" s="20"/>
      <c r="F29" s="22"/>
      <c r="G29" s="23"/>
      <c r="H29" s="24"/>
      <c r="I29" s="11">
        <f>Tabel_2.1_SK[[#This Row],[Mængde]]*(Tabel_2.1_SK[[#This Row],[a. 
Den absolut mindste enhedspris, der forekommer mulig
(Optimistisk)]]
+3*Tabel_2.1_SK[[#This Row],[b. 
Den mest sandsynlige enhedspris]]
+Tabel_2.1_SK[[#This Row],[c. 
Den absolut størst tænkelige enhedspris
(pessimistisk)]])/5</f>
        <v>0</v>
      </c>
      <c r="J29" s="1">
        <f>Tabel_2.1_SK[[#This Row],[Mængde]]*(Tabel_2.1_SK[[#This Row],[c. 
Den absolut størst tænkelige enhedspris
(pessimistisk)]]
-Tabel_2.1_SK[[#This Row],[a. 
Den absolut mindste enhedspris, der forekommer mulig
(Optimistisk)]])/5</f>
        <v>0</v>
      </c>
      <c r="K29" s="12">
        <f>Tabel_2.1_SK[[#This Row],[s.
spredningen
(standardafvigelsen)]]^2*0.000001</f>
        <v>0</v>
      </c>
    </row>
    <row r="30" spans="2:11" x14ac:dyDescent="0.25">
      <c r="B30" s="19" t="s">
        <v>39</v>
      </c>
      <c r="C30" s="20"/>
      <c r="D30" s="21"/>
      <c r="E30" s="20"/>
      <c r="F30" s="22"/>
      <c r="G30" s="23"/>
      <c r="H30" s="24"/>
      <c r="I30" s="11">
        <f>Tabel_2.1_SK[[#This Row],[Mængde]]*(Tabel_2.1_SK[[#This Row],[a. 
Den absolut mindste enhedspris, der forekommer mulig
(Optimistisk)]]
+3*Tabel_2.1_SK[[#This Row],[b. 
Den mest sandsynlige enhedspris]]
+Tabel_2.1_SK[[#This Row],[c. 
Den absolut størst tænkelige enhedspris
(pessimistisk)]])/5</f>
        <v>0</v>
      </c>
      <c r="J30" s="1">
        <f>Tabel_2.1_SK[[#This Row],[Mængde]]*(Tabel_2.1_SK[[#This Row],[c. 
Den absolut størst tænkelige enhedspris
(pessimistisk)]]
-Tabel_2.1_SK[[#This Row],[a. 
Den absolut mindste enhedspris, der forekommer mulig
(Optimistisk)]])/5</f>
        <v>0</v>
      </c>
      <c r="K30" s="12">
        <f>Tabel_2.1_SK[[#This Row],[s.
spredningen
(standardafvigelsen)]]^2*0.000001</f>
        <v>0</v>
      </c>
    </row>
    <row r="31" spans="2:11" x14ac:dyDescent="0.25">
      <c r="B31" s="19"/>
      <c r="C31" s="20"/>
      <c r="D31" s="21"/>
      <c r="E31" s="20"/>
      <c r="F31" s="22"/>
      <c r="G31" s="23"/>
      <c r="H31" s="24"/>
      <c r="I31" s="11">
        <f>Tabel_2.1_SK[[#This Row],[Mængde]]*(Tabel_2.1_SK[[#This Row],[a. 
Den absolut mindste enhedspris, der forekommer mulig
(Optimistisk)]]
+3*Tabel_2.1_SK[[#This Row],[b. 
Den mest sandsynlige enhedspris]]
+Tabel_2.1_SK[[#This Row],[c. 
Den absolut størst tænkelige enhedspris
(pessimistisk)]])/5</f>
        <v>0</v>
      </c>
      <c r="J31" s="1">
        <f>Tabel_2.1_SK[[#This Row],[Mængde]]*(Tabel_2.1_SK[[#This Row],[c. 
Den absolut størst tænkelige enhedspris
(pessimistisk)]]
-Tabel_2.1_SK[[#This Row],[a. 
Den absolut mindste enhedspris, der forekommer mulig
(Optimistisk)]])/5</f>
        <v>0</v>
      </c>
      <c r="K31" s="12">
        <f>Tabel_2.1_SK[[#This Row],[s.
spredningen
(standardafvigelsen)]]^2*0.000001</f>
        <v>0</v>
      </c>
    </row>
    <row r="32" spans="2:11" x14ac:dyDescent="0.25">
      <c r="B32" s="19"/>
      <c r="C32" s="20"/>
      <c r="D32" s="21"/>
      <c r="E32" s="20"/>
      <c r="F32" s="22"/>
      <c r="G32" s="23"/>
      <c r="H32" s="24"/>
      <c r="I32" s="11">
        <f>Tabel_2.1_SK[[#This Row],[Mængde]]*(Tabel_2.1_SK[[#This Row],[a. 
Den absolut mindste enhedspris, der forekommer mulig
(Optimistisk)]]
+3*Tabel_2.1_SK[[#This Row],[b. 
Den mest sandsynlige enhedspris]]
+Tabel_2.1_SK[[#This Row],[c. 
Den absolut størst tænkelige enhedspris
(pessimistisk)]])/5</f>
        <v>0</v>
      </c>
      <c r="J32" s="1">
        <f>Tabel_2.1_SK[[#This Row],[Mængde]]*(Tabel_2.1_SK[[#This Row],[c. 
Den absolut størst tænkelige enhedspris
(pessimistisk)]]
-Tabel_2.1_SK[[#This Row],[a. 
Den absolut mindste enhedspris, der forekommer mulig
(Optimistisk)]])/5</f>
        <v>0</v>
      </c>
      <c r="K32" s="12">
        <f>Tabel_2.1_SK[[#This Row],[s.
spredningen
(standardafvigelsen)]]^2*0.000001</f>
        <v>0</v>
      </c>
    </row>
    <row r="33" spans="2:11" x14ac:dyDescent="0.25">
      <c r="B33" s="19"/>
      <c r="C33" s="20"/>
      <c r="D33" s="21"/>
      <c r="E33" s="20"/>
      <c r="F33" s="22"/>
      <c r="G33" s="23"/>
      <c r="H33" s="24"/>
      <c r="I33" s="11">
        <f>Tabel_2.1_SK[[#This Row],[Mængde]]*(Tabel_2.1_SK[[#This Row],[a. 
Den absolut mindste enhedspris, der forekommer mulig
(Optimistisk)]]
+3*Tabel_2.1_SK[[#This Row],[b. 
Den mest sandsynlige enhedspris]]
+Tabel_2.1_SK[[#This Row],[c. 
Den absolut størst tænkelige enhedspris
(pessimistisk)]])/5</f>
        <v>0</v>
      </c>
      <c r="J33" s="1">
        <f>Tabel_2.1_SK[[#This Row],[Mængde]]*(Tabel_2.1_SK[[#This Row],[c. 
Den absolut størst tænkelige enhedspris
(pessimistisk)]]
-Tabel_2.1_SK[[#This Row],[a. 
Den absolut mindste enhedspris, der forekommer mulig
(Optimistisk)]])/5</f>
        <v>0</v>
      </c>
      <c r="K33" s="12">
        <f>Tabel_2.1_SK[[#This Row],[s.
spredningen
(standardafvigelsen)]]^2*0.000001</f>
        <v>0</v>
      </c>
    </row>
    <row r="34" spans="2:11" x14ac:dyDescent="0.25">
      <c r="B34" s="7" t="s">
        <v>40</v>
      </c>
      <c r="C34" s="8" t="s">
        <v>62</v>
      </c>
      <c r="D34" s="7"/>
      <c r="E34" s="8"/>
      <c r="F34" s="7"/>
      <c r="G34" s="13"/>
      <c r="H34" s="8"/>
      <c r="I34" s="17">
        <f>SUBTOTAL(109,Tabel_2.1_SK[m.
Den forventede værdi (middelværdi)])</f>
        <v>0</v>
      </c>
      <c r="J34" s="13"/>
      <c r="K34" s="18">
        <f>SUBTOTAL(109,Tabel_2.1_SK[v.
varians (s2x10-7)])</f>
        <v>0</v>
      </c>
    </row>
    <row r="36" spans="2:11" ht="18.75" x14ac:dyDescent="0.3">
      <c r="C36" s="35" t="str">
        <f>HYPERLINK("#Samleark!RangeBudgetStart","Til Samleark")</f>
        <v>Til Samleark</v>
      </c>
      <c r="F36" s="35" t="str">
        <f>HYPERLINK("#Vejledning!RangeVejledningStart","Til Vejledning")</f>
        <v>Til Vejledning</v>
      </c>
    </row>
  </sheetData>
  <sheetProtection insertRows="0" deleteRows="0"/>
  <mergeCells count="8">
    <mergeCell ref="F23:H23"/>
    <mergeCell ref="I23:K23"/>
    <mergeCell ref="B4:H4"/>
    <mergeCell ref="F5:H5"/>
    <mergeCell ref="I4:K4"/>
    <mergeCell ref="I5:K5"/>
    <mergeCell ref="B22:H22"/>
    <mergeCell ref="I22:K22"/>
  </mergeCells>
  <dataValidations count="1">
    <dataValidation type="decimal" operator="greaterThanOrEqual" allowBlank="1" showInputMessage="1" showErrorMessage="1" errorTitle="Indtast et positivt tal" error="Indtast et tal større end eller lig med 0." sqref="D25:D33 F25:H33 F7:H15 D7:D15" xr:uid="{0426EB9C-6E87-47BC-B6B7-669785A0C583}">
      <formula1>0</formula1>
    </dataValidation>
  </dataValidations>
  <pageMargins left="0.70866141732283472" right="0.70866141732283472" top="0.74803149606299213" bottom="0.74803149606299213" header="0.31496062992125984" footer="0.31496062992125984"/>
  <pageSetup paperSize="9" scale="38" orientation="portrait" cellComments="asDisplayed" r:id="rId1"/>
  <headerFooter>
    <oddHeader>&amp;L&amp;G</oddHeader>
    <oddFooter>&amp;RAU Bygninger
Udarbejdet af: MOSA</oddFooter>
  </headerFooter>
  <legacyDrawingHF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D269F-7927-445C-9B0E-A573296EA41C}">
  <sheetPr>
    <tabColor rgb="FF92D050"/>
    <pageSetUpPr fitToPage="1"/>
  </sheetPr>
  <dimension ref="A2:L36"/>
  <sheetViews>
    <sheetView showGridLines="0" view="pageBreakPreview" zoomScaleNormal="70" zoomScaleSheetLayoutView="100" workbookViewId="0">
      <selection activeCell="C36" sqref="C36"/>
    </sheetView>
  </sheetViews>
  <sheetFormatPr defaultColWidth="0" defaultRowHeight="15" x14ac:dyDescent="0.25"/>
  <cols>
    <col min="1" max="1" width="2.7109375" customWidth="1"/>
    <col min="2" max="2" width="7.5703125" bestFit="1" customWidth="1"/>
    <col min="3" max="3" width="51" bestFit="1" customWidth="1"/>
    <col min="4" max="4" width="10.85546875" customWidth="1"/>
    <col min="5" max="5" width="9.140625" customWidth="1"/>
    <col min="6" max="8" width="26.7109375" customWidth="1"/>
    <col min="9" max="11" width="20.7109375" customWidth="1"/>
    <col min="12" max="12" width="2.7109375" customWidth="1"/>
    <col min="13" max="16384" width="9.140625" hidden="1"/>
  </cols>
  <sheetData>
    <row r="2" spans="2:11" ht="20.25" thickBot="1" x14ac:dyDescent="0.35">
      <c r="B2" s="31" t="s">
        <v>65</v>
      </c>
      <c r="C2" s="31" t="s">
        <v>222</v>
      </c>
      <c r="D2" s="31"/>
      <c r="E2" s="31"/>
      <c r="F2" s="31"/>
      <c r="G2" s="31"/>
      <c r="H2" s="31"/>
      <c r="I2" s="31"/>
      <c r="J2" s="31"/>
      <c r="K2" s="31"/>
    </row>
    <row r="3" spans="2:11" ht="15.75" thickTop="1" x14ac:dyDescent="0.25"/>
    <row r="4" spans="2:11" x14ac:dyDescent="0.25">
      <c r="B4" s="114" t="s">
        <v>6</v>
      </c>
      <c r="C4" s="115"/>
      <c r="D4" s="115"/>
      <c r="E4" s="115"/>
      <c r="F4" s="115"/>
      <c r="G4" s="115"/>
      <c r="H4" s="115"/>
      <c r="I4" s="116" t="s">
        <v>7</v>
      </c>
      <c r="J4" s="117"/>
      <c r="K4" s="118"/>
    </row>
    <row r="5" spans="2:11" x14ac:dyDescent="0.25">
      <c r="B5" s="3"/>
      <c r="C5" s="4"/>
      <c r="D5" s="3"/>
      <c r="E5" s="4"/>
      <c r="F5" s="109" t="s">
        <v>30</v>
      </c>
      <c r="G5" s="110"/>
      <c r="H5" s="111"/>
      <c r="I5" s="112" t="s">
        <v>31</v>
      </c>
      <c r="J5" s="112"/>
      <c r="K5" s="113"/>
    </row>
    <row r="6" spans="2:11" ht="75" x14ac:dyDescent="0.25">
      <c r="B6" s="5" t="s">
        <v>268</v>
      </c>
      <c r="C6" s="6" t="s">
        <v>0</v>
      </c>
      <c r="D6" s="5" t="s">
        <v>1</v>
      </c>
      <c r="E6" s="6" t="s">
        <v>2</v>
      </c>
      <c r="F6" s="9" t="s">
        <v>27</v>
      </c>
      <c r="G6" s="2" t="s">
        <v>28</v>
      </c>
      <c r="H6" s="10" t="s">
        <v>29</v>
      </c>
      <c r="I6" s="14" t="s">
        <v>3</v>
      </c>
      <c r="J6" s="15" t="s">
        <v>4</v>
      </c>
      <c r="K6" s="16" t="s">
        <v>5</v>
      </c>
    </row>
    <row r="7" spans="2:11" x14ac:dyDescent="0.25">
      <c r="B7" s="19" t="s">
        <v>67</v>
      </c>
      <c r="C7" s="20" t="s">
        <v>68</v>
      </c>
      <c r="D7" s="21"/>
      <c r="E7" s="20"/>
      <c r="F7" s="22"/>
      <c r="G7" s="23"/>
      <c r="H7" s="24"/>
      <c r="I7" s="11">
        <f>Tabel_1.2_SK[[#This Row],[Mængde]]*(Tabel_1.2_SK[[#This Row],[a. 
Den absolut mindste enhedspris, der forekommer mulig
(Optimistisk)]]
+3*Tabel_1.2_SK[[#This Row],[b. 
Den mest sandsynlige enhedspris]]
+Tabel_1.2_SK[[#This Row],[c. 
Den absolut størst tænkelige enhedspris
(pessimistisk)]])/5</f>
        <v>0</v>
      </c>
      <c r="J7" s="1">
        <f>Tabel_1.2_SK[[#This Row],[Mængde]]*(Tabel_1.2_SK[[#This Row],[c. 
Den absolut størst tænkelige enhedspris
(pessimistisk)]]
-Tabel_1.2_SK[[#This Row],[a. 
Den absolut mindste enhedspris, der forekommer mulig
(Optimistisk)]])/5</f>
        <v>0</v>
      </c>
      <c r="K7" s="12">
        <f>Tabel_1.2_SK[[#This Row],[s.
spredningen
(standardafvigelsen)]]^2*0.000001</f>
        <v>0</v>
      </c>
    </row>
    <row r="8" spans="2:11" x14ac:dyDescent="0.25">
      <c r="B8" s="19" t="s">
        <v>69</v>
      </c>
      <c r="C8" s="20" t="s">
        <v>70</v>
      </c>
      <c r="D8" s="21"/>
      <c r="E8" s="20"/>
      <c r="F8" s="22"/>
      <c r="G8" s="23"/>
      <c r="H8" s="24"/>
      <c r="I8" s="11">
        <f>Tabel_1.2_SK[[#This Row],[Mængde]]*(Tabel_1.2_SK[[#This Row],[a. 
Den absolut mindste enhedspris, der forekommer mulig
(Optimistisk)]]
+3*Tabel_1.2_SK[[#This Row],[b. 
Den mest sandsynlige enhedspris]]
+Tabel_1.2_SK[[#This Row],[c. 
Den absolut størst tænkelige enhedspris
(pessimistisk)]])/5</f>
        <v>0</v>
      </c>
      <c r="J8" s="1">
        <f>Tabel_1.2_SK[[#This Row],[Mængde]]*(Tabel_1.2_SK[[#This Row],[c. 
Den absolut størst tænkelige enhedspris
(pessimistisk)]]
-Tabel_1.2_SK[[#This Row],[a. 
Den absolut mindste enhedspris, der forekommer mulig
(Optimistisk)]])/5</f>
        <v>0</v>
      </c>
      <c r="K8" s="12">
        <f>Tabel_1.2_SK[[#This Row],[s.
spredningen
(standardafvigelsen)]]^2*0.000001</f>
        <v>0</v>
      </c>
    </row>
    <row r="9" spans="2:11" x14ac:dyDescent="0.25">
      <c r="B9" s="19"/>
      <c r="C9" s="20"/>
      <c r="D9" s="21"/>
      <c r="E9" s="20"/>
      <c r="F9" s="22"/>
      <c r="G9" s="23"/>
      <c r="H9" s="24"/>
      <c r="I9" s="11">
        <f>Tabel_1.2_SK[[#This Row],[Mængde]]*(Tabel_1.2_SK[[#This Row],[a. 
Den absolut mindste enhedspris, der forekommer mulig
(Optimistisk)]]
+3*Tabel_1.2_SK[[#This Row],[b. 
Den mest sandsynlige enhedspris]]
+Tabel_1.2_SK[[#This Row],[c. 
Den absolut størst tænkelige enhedspris
(pessimistisk)]])/5</f>
        <v>0</v>
      </c>
      <c r="J9" s="1">
        <f>Tabel_1.2_SK[[#This Row],[Mængde]]*(Tabel_1.2_SK[[#This Row],[c. 
Den absolut størst tænkelige enhedspris
(pessimistisk)]]
-Tabel_1.2_SK[[#This Row],[a. 
Den absolut mindste enhedspris, der forekommer mulig
(Optimistisk)]])/5</f>
        <v>0</v>
      </c>
      <c r="K9" s="12">
        <f>Tabel_1.2_SK[[#This Row],[s.
spredningen
(standardafvigelsen)]]^2*0.000001</f>
        <v>0</v>
      </c>
    </row>
    <row r="10" spans="2:11" x14ac:dyDescent="0.25">
      <c r="B10" s="19"/>
      <c r="C10" s="20"/>
      <c r="D10" s="21"/>
      <c r="E10" s="20"/>
      <c r="F10" s="22"/>
      <c r="G10" s="23"/>
      <c r="H10" s="24"/>
      <c r="I10" s="11">
        <f>Tabel_1.2_SK[[#This Row],[Mængde]]*(Tabel_1.2_SK[[#This Row],[a. 
Den absolut mindste enhedspris, der forekommer mulig
(Optimistisk)]]
+3*Tabel_1.2_SK[[#This Row],[b. 
Den mest sandsynlige enhedspris]]
+Tabel_1.2_SK[[#This Row],[c. 
Den absolut størst tænkelige enhedspris
(pessimistisk)]])/5</f>
        <v>0</v>
      </c>
      <c r="J10" s="1">
        <f>Tabel_1.2_SK[[#This Row],[Mængde]]*(Tabel_1.2_SK[[#This Row],[c. 
Den absolut størst tænkelige enhedspris
(pessimistisk)]]
-Tabel_1.2_SK[[#This Row],[a. 
Den absolut mindste enhedspris, der forekommer mulig
(Optimistisk)]])/5</f>
        <v>0</v>
      </c>
      <c r="K10" s="12">
        <f>Tabel_1.2_SK[[#This Row],[s.
spredningen
(standardafvigelsen)]]^2*0.000001</f>
        <v>0</v>
      </c>
    </row>
    <row r="11" spans="2:11" x14ac:dyDescent="0.25">
      <c r="B11" s="19"/>
      <c r="C11" s="20"/>
      <c r="D11" s="21"/>
      <c r="E11" s="20"/>
      <c r="F11" s="22"/>
      <c r="G11" s="23"/>
      <c r="H11" s="24"/>
      <c r="I11" s="11">
        <f>Tabel_1.2_SK[[#This Row],[Mængde]]*(Tabel_1.2_SK[[#This Row],[a. 
Den absolut mindste enhedspris, der forekommer mulig
(Optimistisk)]]
+3*Tabel_1.2_SK[[#This Row],[b. 
Den mest sandsynlige enhedspris]]
+Tabel_1.2_SK[[#This Row],[c. 
Den absolut størst tænkelige enhedspris
(pessimistisk)]])/5</f>
        <v>0</v>
      </c>
      <c r="J11" s="1">
        <f>Tabel_1.2_SK[[#This Row],[Mængde]]*(Tabel_1.2_SK[[#This Row],[c. 
Den absolut størst tænkelige enhedspris
(pessimistisk)]]
-Tabel_1.2_SK[[#This Row],[a. 
Den absolut mindste enhedspris, der forekommer mulig
(Optimistisk)]])/5</f>
        <v>0</v>
      </c>
      <c r="K11" s="12">
        <f>Tabel_1.2_SK[[#This Row],[s.
spredningen
(standardafvigelsen)]]^2*0.000001</f>
        <v>0</v>
      </c>
    </row>
    <row r="12" spans="2:11" x14ac:dyDescent="0.25">
      <c r="B12" s="19"/>
      <c r="C12" s="20"/>
      <c r="D12" s="21"/>
      <c r="E12" s="20"/>
      <c r="F12" s="22"/>
      <c r="G12" s="23"/>
      <c r="H12" s="24"/>
      <c r="I12" s="11">
        <f>Tabel_1.2_SK[[#This Row],[Mængde]]*(Tabel_1.2_SK[[#This Row],[a. 
Den absolut mindste enhedspris, der forekommer mulig
(Optimistisk)]]
+3*Tabel_1.2_SK[[#This Row],[b. 
Den mest sandsynlige enhedspris]]
+Tabel_1.2_SK[[#This Row],[c. 
Den absolut størst tænkelige enhedspris
(pessimistisk)]])/5</f>
        <v>0</v>
      </c>
      <c r="J12" s="1">
        <f>Tabel_1.2_SK[[#This Row],[Mængde]]*(Tabel_1.2_SK[[#This Row],[c. 
Den absolut størst tænkelige enhedspris
(pessimistisk)]]
-Tabel_1.2_SK[[#This Row],[a. 
Den absolut mindste enhedspris, der forekommer mulig
(Optimistisk)]])/5</f>
        <v>0</v>
      </c>
      <c r="K12" s="12">
        <f>Tabel_1.2_SK[[#This Row],[s.
spredningen
(standardafvigelsen)]]^2*0.000001</f>
        <v>0</v>
      </c>
    </row>
    <row r="13" spans="2:11" x14ac:dyDescent="0.25">
      <c r="B13" s="19"/>
      <c r="C13" s="20"/>
      <c r="D13" s="21"/>
      <c r="E13" s="20"/>
      <c r="F13" s="22"/>
      <c r="G13" s="23"/>
      <c r="H13" s="24"/>
      <c r="I13" s="11">
        <f>Tabel_1.2_SK[[#This Row],[Mængde]]*(Tabel_1.2_SK[[#This Row],[a. 
Den absolut mindste enhedspris, der forekommer mulig
(Optimistisk)]]
+3*Tabel_1.2_SK[[#This Row],[b. 
Den mest sandsynlige enhedspris]]
+Tabel_1.2_SK[[#This Row],[c. 
Den absolut størst tænkelige enhedspris
(pessimistisk)]])/5</f>
        <v>0</v>
      </c>
      <c r="J13" s="1">
        <f>Tabel_1.2_SK[[#This Row],[Mængde]]*(Tabel_1.2_SK[[#This Row],[c. 
Den absolut størst tænkelige enhedspris
(pessimistisk)]]
-Tabel_1.2_SK[[#This Row],[a. 
Den absolut mindste enhedspris, der forekommer mulig
(Optimistisk)]])/5</f>
        <v>0</v>
      </c>
      <c r="K13" s="12">
        <f>Tabel_1.2_SK[[#This Row],[s.
spredningen
(standardafvigelsen)]]^2*0.000001</f>
        <v>0</v>
      </c>
    </row>
    <row r="14" spans="2:11" x14ac:dyDescent="0.25">
      <c r="B14" s="19"/>
      <c r="C14" s="20"/>
      <c r="D14" s="21"/>
      <c r="E14" s="20"/>
      <c r="F14" s="22"/>
      <c r="G14" s="23"/>
      <c r="H14" s="24"/>
      <c r="I14" s="11">
        <f>Tabel_1.2_SK[[#This Row],[Mængde]]*(Tabel_1.2_SK[[#This Row],[a. 
Den absolut mindste enhedspris, der forekommer mulig
(Optimistisk)]]
+3*Tabel_1.2_SK[[#This Row],[b. 
Den mest sandsynlige enhedspris]]
+Tabel_1.2_SK[[#This Row],[c. 
Den absolut størst tænkelige enhedspris
(pessimistisk)]])/5</f>
        <v>0</v>
      </c>
      <c r="J14" s="1">
        <f>Tabel_1.2_SK[[#This Row],[Mængde]]*(Tabel_1.2_SK[[#This Row],[c. 
Den absolut størst tænkelige enhedspris
(pessimistisk)]]
-Tabel_1.2_SK[[#This Row],[a. 
Den absolut mindste enhedspris, der forekommer mulig
(Optimistisk)]])/5</f>
        <v>0</v>
      </c>
      <c r="K14" s="12">
        <f>Tabel_1.2_SK[[#This Row],[s.
spredningen
(standardafvigelsen)]]^2*0.000001</f>
        <v>0</v>
      </c>
    </row>
    <row r="15" spans="2:11" x14ac:dyDescent="0.25">
      <c r="B15" s="19"/>
      <c r="C15" s="20"/>
      <c r="D15" s="21"/>
      <c r="E15" s="20"/>
      <c r="F15" s="22"/>
      <c r="G15" s="23"/>
      <c r="H15" s="24"/>
      <c r="I15" s="11">
        <f>Tabel_1.2_SK[[#This Row],[Mængde]]*(Tabel_1.2_SK[[#This Row],[a. 
Den absolut mindste enhedspris, der forekommer mulig
(Optimistisk)]]
+3*Tabel_1.2_SK[[#This Row],[b. 
Den mest sandsynlige enhedspris]]
+Tabel_1.2_SK[[#This Row],[c. 
Den absolut størst tænkelige enhedspris
(pessimistisk)]])/5</f>
        <v>0</v>
      </c>
      <c r="J15" s="1">
        <f>Tabel_1.2_SK[[#This Row],[Mængde]]*(Tabel_1.2_SK[[#This Row],[c. 
Den absolut størst tænkelige enhedspris
(pessimistisk)]]
-Tabel_1.2_SK[[#This Row],[a. 
Den absolut mindste enhedspris, der forekommer mulig
(Optimistisk)]])/5</f>
        <v>0</v>
      </c>
      <c r="K15" s="12">
        <f>Tabel_1.2_SK[[#This Row],[s.
spredningen
(standardafvigelsen)]]^2*0.000001</f>
        <v>0</v>
      </c>
    </row>
    <row r="16" spans="2:11" x14ac:dyDescent="0.25">
      <c r="B16" s="7" t="s">
        <v>65</v>
      </c>
      <c r="C16" s="8" t="s">
        <v>63</v>
      </c>
      <c r="D16" s="7"/>
      <c r="E16" s="8"/>
      <c r="F16" s="7"/>
      <c r="G16" s="13"/>
      <c r="H16" s="8"/>
      <c r="I16" s="17">
        <f>SUBTOTAL(109,Tabel_1.2_SK[m.
Den forventede værdi (middelværdi)])</f>
        <v>0</v>
      </c>
      <c r="J16" s="13"/>
      <c r="K16" s="18">
        <f>SUBTOTAL(109,Tabel_1.2_SK[v.
varians (s2x10-7)])</f>
        <v>0</v>
      </c>
    </row>
    <row r="18" spans="2:11" ht="18.75" x14ac:dyDescent="0.3">
      <c r="C18" s="35" t="str">
        <f>HYPERLINK("#Samleark!RangeBudgetStart","Til Samleark")</f>
        <v>Til Samleark</v>
      </c>
      <c r="F18" s="35" t="str">
        <f>HYPERLINK("#Vejledning!RangeVejledningStart","Til Vejledning")</f>
        <v>Til Vejledning</v>
      </c>
    </row>
    <row r="20" spans="2:11" ht="20.25" thickBot="1" x14ac:dyDescent="0.35">
      <c r="B20" s="31" t="s">
        <v>66</v>
      </c>
      <c r="C20" s="31" t="s">
        <v>223</v>
      </c>
      <c r="D20" s="31"/>
      <c r="E20" s="31"/>
      <c r="F20" s="31"/>
      <c r="G20" s="31"/>
      <c r="H20" s="31"/>
      <c r="I20" s="31"/>
      <c r="J20" s="31"/>
      <c r="K20" s="31"/>
    </row>
    <row r="21" spans="2:11" ht="15.75" thickTop="1" x14ac:dyDescent="0.25"/>
    <row r="22" spans="2:11" x14ac:dyDescent="0.25">
      <c r="B22" s="114" t="s">
        <v>6</v>
      </c>
      <c r="C22" s="115"/>
      <c r="D22" s="115"/>
      <c r="E22" s="115"/>
      <c r="F22" s="115"/>
      <c r="G22" s="115"/>
      <c r="H22" s="115"/>
      <c r="I22" s="116" t="s">
        <v>7</v>
      </c>
      <c r="J22" s="117"/>
      <c r="K22" s="118"/>
    </row>
    <row r="23" spans="2:11" x14ac:dyDescent="0.25">
      <c r="B23" s="3"/>
      <c r="C23" s="4"/>
      <c r="D23" s="3"/>
      <c r="E23" s="4"/>
      <c r="F23" s="109" t="s">
        <v>30</v>
      </c>
      <c r="G23" s="110"/>
      <c r="H23" s="111"/>
      <c r="I23" s="112" t="s">
        <v>31</v>
      </c>
      <c r="J23" s="112"/>
      <c r="K23" s="113"/>
    </row>
    <row r="24" spans="2:11" ht="75" x14ac:dyDescent="0.25">
      <c r="B24" s="5" t="s">
        <v>268</v>
      </c>
      <c r="C24" s="6" t="s">
        <v>0</v>
      </c>
      <c r="D24" s="5" t="s">
        <v>1</v>
      </c>
      <c r="E24" s="6" t="s">
        <v>2</v>
      </c>
      <c r="F24" s="9" t="s">
        <v>27</v>
      </c>
      <c r="G24" s="2" t="s">
        <v>28</v>
      </c>
      <c r="H24" s="10" t="s">
        <v>29</v>
      </c>
      <c r="I24" s="14" t="s">
        <v>3</v>
      </c>
      <c r="J24" s="15" t="s">
        <v>4</v>
      </c>
      <c r="K24" s="16" t="s">
        <v>5</v>
      </c>
    </row>
    <row r="25" spans="2:11" x14ac:dyDescent="0.25">
      <c r="B25" s="19" t="s">
        <v>71</v>
      </c>
      <c r="C25" s="20" t="s">
        <v>73</v>
      </c>
      <c r="D25" s="21"/>
      <c r="E25" s="20"/>
      <c r="F25" s="22"/>
      <c r="G25" s="23"/>
      <c r="H25" s="24"/>
      <c r="I25" s="11">
        <f>Tabel_2.2_SK[[#This Row],[Mængde]]*(Tabel_2.2_SK[[#This Row],[a. 
Den absolut mindste enhedspris, der forekommer mulig
(Optimistisk)]]
+3*Tabel_2.2_SK[[#This Row],[b. 
Den mest sandsynlige enhedspris]]
+Tabel_2.2_SK[[#This Row],[c. 
Den absolut størst tænkelige enhedspris
(pessimistisk)]])/5</f>
        <v>0</v>
      </c>
      <c r="J25" s="1">
        <f>Tabel_2.2_SK[[#This Row],[Mængde]]*(Tabel_2.2_SK[[#This Row],[c. 
Den absolut størst tænkelige enhedspris
(pessimistisk)]]
-Tabel_2.2_SK[[#This Row],[a. 
Den absolut mindste enhedspris, der forekommer mulig
(Optimistisk)]])/5</f>
        <v>0</v>
      </c>
      <c r="K25" s="12">
        <f>Tabel_2.2_SK[[#This Row],[s.
spredningen
(standardafvigelsen)]]^2*0.000001</f>
        <v>0</v>
      </c>
    </row>
    <row r="26" spans="2:11" x14ac:dyDescent="0.25">
      <c r="B26" s="19" t="s">
        <v>72</v>
      </c>
      <c r="C26" s="20" t="s">
        <v>74</v>
      </c>
      <c r="D26" s="21"/>
      <c r="E26" s="20"/>
      <c r="F26" s="22"/>
      <c r="G26" s="23"/>
      <c r="H26" s="24"/>
      <c r="I26" s="11">
        <f>Tabel_2.2_SK[[#This Row],[Mængde]]*(Tabel_2.2_SK[[#This Row],[a. 
Den absolut mindste enhedspris, der forekommer mulig
(Optimistisk)]]
+3*Tabel_2.2_SK[[#This Row],[b. 
Den mest sandsynlige enhedspris]]
+Tabel_2.2_SK[[#This Row],[c. 
Den absolut størst tænkelige enhedspris
(pessimistisk)]])/5</f>
        <v>0</v>
      </c>
      <c r="J26" s="1">
        <f>Tabel_2.2_SK[[#This Row],[Mængde]]*(Tabel_2.2_SK[[#This Row],[c. 
Den absolut størst tænkelige enhedspris
(pessimistisk)]]
-Tabel_2.2_SK[[#This Row],[a. 
Den absolut mindste enhedspris, der forekommer mulig
(Optimistisk)]])/5</f>
        <v>0</v>
      </c>
      <c r="K26" s="12">
        <f>Tabel_2.2_SK[[#This Row],[s.
spredningen
(standardafvigelsen)]]^2*0.000001</f>
        <v>0</v>
      </c>
    </row>
    <row r="27" spans="2:11" x14ac:dyDescent="0.25">
      <c r="B27" s="19" t="s">
        <v>450</v>
      </c>
      <c r="C27" s="20" t="s">
        <v>451</v>
      </c>
      <c r="D27" s="21"/>
      <c r="E27" s="20" t="s">
        <v>370</v>
      </c>
      <c r="F27" s="22">
        <v>100000</v>
      </c>
      <c r="G27" s="23">
        <v>100000</v>
      </c>
      <c r="H27" s="24">
        <v>100000</v>
      </c>
      <c r="I27" s="11">
        <f>Tabel_2.2_SK[[#This Row],[Mængde]]*(Tabel_2.2_SK[[#This Row],[a. 
Den absolut mindste enhedspris, der forekommer mulig
(Optimistisk)]]
+3*Tabel_2.2_SK[[#This Row],[b. 
Den mest sandsynlige enhedspris]]
+Tabel_2.2_SK[[#This Row],[c. 
Den absolut størst tænkelige enhedspris
(pessimistisk)]])/5</f>
        <v>0</v>
      </c>
      <c r="J27" s="1">
        <f>Tabel_2.2_SK[[#This Row],[Mængde]]*(Tabel_2.2_SK[[#This Row],[c. 
Den absolut størst tænkelige enhedspris
(pessimistisk)]]
-Tabel_2.2_SK[[#This Row],[a. 
Den absolut mindste enhedspris, der forekommer mulig
(Optimistisk)]])/5</f>
        <v>0</v>
      </c>
      <c r="K27" s="12">
        <f>Tabel_2.2_SK[[#This Row],[s.
spredningen
(standardafvigelsen)]]^2*0.000001</f>
        <v>0</v>
      </c>
    </row>
    <row r="28" spans="2:11" x14ac:dyDescent="0.25">
      <c r="B28" s="19"/>
      <c r="C28" s="20"/>
      <c r="D28" s="21"/>
      <c r="E28" s="20"/>
      <c r="F28" s="22"/>
      <c r="G28" s="23"/>
      <c r="H28" s="24"/>
      <c r="I28" s="11">
        <f>Tabel_2.2_SK[[#This Row],[Mængde]]*(Tabel_2.2_SK[[#This Row],[a. 
Den absolut mindste enhedspris, der forekommer mulig
(Optimistisk)]]
+3*Tabel_2.2_SK[[#This Row],[b. 
Den mest sandsynlige enhedspris]]
+Tabel_2.2_SK[[#This Row],[c. 
Den absolut størst tænkelige enhedspris
(pessimistisk)]])/5</f>
        <v>0</v>
      </c>
      <c r="J28" s="1">
        <f>Tabel_2.2_SK[[#This Row],[Mængde]]*(Tabel_2.2_SK[[#This Row],[c. 
Den absolut størst tænkelige enhedspris
(pessimistisk)]]
-Tabel_2.2_SK[[#This Row],[a. 
Den absolut mindste enhedspris, der forekommer mulig
(Optimistisk)]])/5</f>
        <v>0</v>
      </c>
      <c r="K28" s="12">
        <f>Tabel_2.2_SK[[#This Row],[s.
spredningen
(standardafvigelsen)]]^2*0.000001</f>
        <v>0</v>
      </c>
    </row>
    <row r="29" spans="2:11" x14ac:dyDescent="0.25">
      <c r="B29" s="19"/>
      <c r="C29" s="20"/>
      <c r="D29" s="21"/>
      <c r="E29" s="20"/>
      <c r="F29" s="22"/>
      <c r="G29" s="23"/>
      <c r="H29" s="24"/>
      <c r="I29" s="11">
        <f>Tabel_2.2_SK[[#This Row],[Mængde]]*(Tabel_2.2_SK[[#This Row],[a. 
Den absolut mindste enhedspris, der forekommer mulig
(Optimistisk)]]
+3*Tabel_2.2_SK[[#This Row],[b. 
Den mest sandsynlige enhedspris]]
+Tabel_2.2_SK[[#This Row],[c. 
Den absolut størst tænkelige enhedspris
(pessimistisk)]])/5</f>
        <v>0</v>
      </c>
      <c r="J29" s="1">
        <f>Tabel_2.2_SK[[#This Row],[Mængde]]*(Tabel_2.2_SK[[#This Row],[c. 
Den absolut størst tænkelige enhedspris
(pessimistisk)]]
-Tabel_2.2_SK[[#This Row],[a. 
Den absolut mindste enhedspris, der forekommer mulig
(Optimistisk)]])/5</f>
        <v>0</v>
      </c>
      <c r="K29" s="12">
        <f>Tabel_2.2_SK[[#This Row],[s.
spredningen
(standardafvigelsen)]]^2*0.000001</f>
        <v>0</v>
      </c>
    </row>
    <row r="30" spans="2:11" x14ac:dyDescent="0.25">
      <c r="B30" s="19"/>
      <c r="C30" s="20"/>
      <c r="D30" s="21"/>
      <c r="E30" s="20"/>
      <c r="F30" s="22"/>
      <c r="G30" s="23"/>
      <c r="H30" s="24"/>
      <c r="I30" s="11">
        <f>Tabel_2.2_SK[[#This Row],[Mængde]]*(Tabel_2.2_SK[[#This Row],[a. 
Den absolut mindste enhedspris, der forekommer mulig
(Optimistisk)]]
+3*Tabel_2.2_SK[[#This Row],[b. 
Den mest sandsynlige enhedspris]]
+Tabel_2.2_SK[[#This Row],[c. 
Den absolut størst tænkelige enhedspris
(pessimistisk)]])/5</f>
        <v>0</v>
      </c>
      <c r="J30" s="1">
        <f>Tabel_2.2_SK[[#This Row],[Mængde]]*(Tabel_2.2_SK[[#This Row],[c. 
Den absolut størst tænkelige enhedspris
(pessimistisk)]]
-Tabel_2.2_SK[[#This Row],[a. 
Den absolut mindste enhedspris, der forekommer mulig
(Optimistisk)]])/5</f>
        <v>0</v>
      </c>
      <c r="K30" s="12">
        <f>Tabel_2.2_SK[[#This Row],[s.
spredningen
(standardafvigelsen)]]^2*0.000001</f>
        <v>0</v>
      </c>
    </row>
    <row r="31" spans="2:11" x14ac:dyDescent="0.25">
      <c r="B31" s="19"/>
      <c r="C31" s="20"/>
      <c r="D31" s="21"/>
      <c r="E31" s="20"/>
      <c r="F31" s="22"/>
      <c r="G31" s="23"/>
      <c r="H31" s="24"/>
      <c r="I31" s="11">
        <f>Tabel_2.2_SK[[#This Row],[Mængde]]*(Tabel_2.2_SK[[#This Row],[a. 
Den absolut mindste enhedspris, der forekommer mulig
(Optimistisk)]]
+3*Tabel_2.2_SK[[#This Row],[b. 
Den mest sandsynlige enhedspris]]
+Tabel_2.2_SK[[#This Row],[c. 
Den absolut størst tænkelige enhedspris
(pessimistisk)]])/5</f>
        <v>0</v>
      </c>
      <c r="J31" s="1">
        <f>Tabel_2.2_SK[[#This Row],[Mængde]]*(Tabel_2.2_SK[[#This Row],[c. 
Den absolut størst tænkelige enhedspris
(pessimistisk)]]
-Tabel_2.2_SK[[#This Row],[a. 
Den absolut mindste enhedspris, der forekommer mulig
(Optimistisk)]])/5</f>
        <v>0</v>
      </c>
      <c r="K31" s="12">
        <f>Tabel_2.2_SK[[#This Row],[s.
spredningen
(standardafvigelsen)]]^2*0.000001</f>
        <v>0</v>
      </c>
    </row>
    <row r="32" spans="2:11" x14ac:dyDescent="0.25">
      <c r="B32" s="19"/>
      <c r="C32" s="20"/>
      <c r="D32" s="21"/>
      <c r="E32" s="20"/>
      <c r="F32" s="22"/>
      <c r="G32" s="23"/>
      <c r="H32" s="24"/>
      <c r="I32" s="11">
        <f>Tabel_2.2_SK[[#This Row],[Mængde]]*(Tabel_2.2_SK[[#This Row],[a. 
Den absolut mindste enhedspris, der forekommer mulig
(Optimistisk)]]
+3*Tabel_2.2_SK[[#This Row],[b. 
Den mest sandsynlige enhedspris]]
+Tabel_2.2_SK[[#This Row],[c. 
Den absolut størst tænkelige enhedspris
(pessimistisk)]])/5</f>
        <v>0</v>
      </c>
      <c r="J32" s="1">
        <f>Tabel_2.2_SK[[#This Row],[Mængde]]*(Tabel_2.2_SK[[#This Row],[c. 
Den absolut størst tænkelige enhedspris
(pessimistisk)]]
-Tabel_2.2_SK[[#This Row],[a. 
Den absolut mindste enhedspris, der forekommer mulig
(Optimistisk)]])/5</f>
        <v>0</v>
      </c>
      <c r="K32" s="12">
        <f>Tabel_2.2_SK[[#This Row],[s.
spredningen
(standardafvigelsen)]]^2*0.000001</f>
        <v>0</v>
      </c>
    </row>
    <row r="33" spans="2:11" x14ac:dyDescent="0.25">
      <c r="B33" s="19"/>
      <c r="C33" s="20"/>
      <c r="D33" s="21"/>
      <c r="E33" s="20"/>
      <c r="F33" s="22"/>
      <c r="G33" s="23"/>
      <c r="H33" s="24"/>
      <c r="I33" s="11">
        <f>Tabel_2.2_SK[[#This Row],[Mængde]]*(Tabel_2.2_SK[[#This Row],[a. 
Den absolut mindste enhedspris, der forekommer mulig
(Optimistisk)]]
+3*Tabel_2.2_SK[[#This Row],[b. 
Den mest sandsynlige enhedspris]]
+Tabel_2.2_SK[[#This Row],[c. 
Den absolut størst tænkelige enhedspris
(pessimistisk)]])/5</f>
        <v>0</v>
      </c>
      <c r="J33" s="1">
        <f>Tabel_2.2_SK[[#This Row],[Mængde]]*(Tabel_2.2_SK[[#This Row],[c. 
Den absolut størst tænkelige enhedspris
(pessimistisk)]]
-Tabel_2.2_SK[[#This Row],[a. 
Den absolut mindste enhedspris, der forekommer mulig
(Optimistisk)]])/5</f>
        <v>0</v>
      </c>
      <c r="K33" s="12">
        <f>Tabel_2.2_SK[[#This Row],[s.
spredningen
(standardafvigelsen)]]^2*0.000001</f>
        <v>0</v>
      </c>
    </row>
    <row r="34" spans="2:11" x14ac:dyDescent="0.25">
      <c r="B34" s="7" t="s">
        <v>66</v>
      </c>
      <c r="C34" s="8" t="s">
        <v>64</v>
      </c>
      <c r="D34" s="7"/>
      <c r="E34" s="8"/>
      <c r="F34" s="7"/>
      <c r="G34" s="13"/>
      <c r="H34" s="8"/>
      <c r="I34" s="17">
        <f>SUBTOTAL(109,Tabel_2.2_SK[m.
Den forventede værdi (middelværdi)])</f>
        <v>0</v>
      </c>
      <c r="J34" s="13"/>
      <c r="K34" s="18">
        <f>SUBTOTAL(109,Tabel_2.2_SK[v.
varians (s2x10-7)])</f>
        <v>0</v>
      </c>
    </row>
    <row r="36" spans="2:11" ht="18.75" x14ac:dyDescent="0.3">
      <c r="C36" s="35" t="str">
        <f>HYPERLINK("#Samleark!RangeBudgetStart","Til Samleark")</f>
        <v>Til Samleark</v>
      </c>
      <c r="F36" s="35" t="str">
        <f>HYPERLINK("#Vejledning!RangeVejledningStart","Til Vejledning")</f>
        <v>Til Vejledning</v>
      </c>
    </row>
  </sheetData>
  <mergeCells count="8">
    <mergeCell ref="F23:H23"/>
    <mergeCell ref="I23:K23"/>
    <mergeCell ref="B4:H4"/>
    <mergeCell ref="I4:K4"/>
    <mergeCell ref="F5:H5"/>
    <mergeCell ref="I5:K5"/>
    <mergeCell ref="B22:H22"/>
    <mergeCell ref="I22:K22"/>
  </mergeCells>
  <dataValidations count="1">
    <dataValidation type="decimal" operator="greaterThanOrEqual" allowBlank="1" showInputMessage="1" showErrorMessage="1" errorTitle="Indtast et positivt tal" error="Indtast et tal større end eller lig med 0." sqref="D7:D15 F25:H33 D25:D33 F7:H15" xr:uid="{9F348CCD-8E2D-490B-80DD-AA330ADA6A23}">
      <formula1>0</formula1>
    </dataValidation>
  </dataValidations>
  <pageMargins left="0.70866141732283472" right="0.70866141732283472" top="0.74803149606299213" bottom="0.74803149606299213" header="0.31496062992125984" footer="0.31496062992125984"/>
  <pageSetup paperSize="9" scale="38" orientation="portrait" cellComments="asDisplayed" r:id="rId1"/>
  <headerFooter>
    <oddHeader>&amp;L&amp;G</oddHeader>
    <oddFooter>&amp;RAU Bygninger
Udarbejdet af: MOSA</oddFooter>
  </headerFooter>
  <legacyDrawingHF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A772C-1C42-4AC5-BF73-A06EF7ED4C4B}">
  <sheetPr>
    <tabColor rgb="FF92D050"/>
    <pageSetUpPr fitToPage="1"/>
  </sheetPr>
  <dimension ref="A2:L33"/>
  <sheetViews>
    <sheetView showGridLines="0" view="pageBreakPreview" zoomScaleNormal="100" zoomScaleSheetLayoutView="100" workbookViewId="0">
      <selection activeCell="C33" sqref="C33"/>
    </sheetView>
  </sheetViews>
  <sheetFormatPr defaultColWidth="0" defaultRowHeight="15" x14ac:dyDescent="0.25"/>
  <cols>
    <col min="1" max="1" width="2.7109375" customWidth="1"/>
    <col min="2" max="2" width="7.5703125" bestFit="1" customWidth="1"/>
    <col min="3" max="3" width="51" bestFit="1" customWidth="1"/>
    <col min="4" max="4" width="20.28515625" bestFit="1" customWidth="1"/>
    <col min="5" max="5" width="9.140625" customWidth="1"/>
    <col min="6" max="8" width="26.7109375" customWidth="1"/>
    <col min="9" max="11" width="20.7109375" customWidth="1"/>
    <col min="12" max="12" width="2.7109375" customWidth="1"/>
    <col min="13" max="16384" width="9.140625" hidden="1"/>
  </cols>
  <sheetData>
    <row r="2" spans="2:11" ht="20.25" thickBot="1" x14ac:dyDescent="0.35">
      <c r="B2" s="31" t="s">
        <v>41</v>
      </c>
      <c r="C2" s="31" t="s">
        <v>224</v>
      </c>
      <c r="D2" s="31"/>
      <c r="E2" s="31"/>
      <c r="F2" s="31"/>
      <c r="G2" s="31"/>
      <c r="H2" s="31"/>
      <c r="I2" s="31"/>
      <c r="J2" s="31"/>
      <c r="K2" s="31"/>
    </row>
    <row r="3" spans="2:11" ht="15.75" thickTop="1" x14ac:dyDescent="0.25"/>
    <row r="4" spans="2:11" x14ac:dyDescent="0.25">
      <c r="B4" s="33" t="s">
        <v>57</v>
      </c>
      <c r="D4" s="32">
        <f>Tabel_1.3_Molio[[#Totals],[Beregnet budget]]+Tabel_1.3_SK[[#Totals],[m.
Den forventede værdi (middelværdi)]]</f>
        <v>0</v>
      </c>
      <c r="F4" t="s">
        <v>58</v>
      </c>
    </row>
    <row r="6" spans="2:11" ht="20.25" thickBot="1" x14ac:dyDescent="0.35">
      <c r="B6" s="31" t="s">
        <v>254</v>
      </c>
      <c r="C6" s="31" t="s">
        <v>225</v>
      </c>
      <c r="D6" s="31"/>
      <c r="E6" s="31"/>
      <c r="F6" s="31"/>
      <c r="G6" s="31"/>
      <c r="H6" s="31"/>
      <c r="I6" s="31"/>
      <c r="J6" s="31"/>
      <c r="K6" s="31"/>
    </row>
    <row r="7" spans="2:11" ht="15.75" thickTop="1" x14ac:dyDescent="0.25"/>
    <row r="8" spans="2:11" x14ac:dyDescent="0.25">
      <c r="D8" s="25" t="s">
        <v>60</v>
      </c>
      <c r="E8" s="119" t="s">
        <v>51</v>
      </c>
      <c r="F8" s="120"/>
      <c r="G8" s="120"/>
      <c r="H8" s="121"/>
    </row>
    <row r="9" spans="2:11" x14ac:dyDescent="0.25">
      <c r="C9" t="s">
        <v>0</v>
      </c>
      <c r="D9" t="s">
        <v>1</v>
      </c>
      <c r="E9" t="s">
        <v>2</v>
      </c>
      <c r="F9" t="s">
        <v>25</v>
      </c>
      <c r="G9" t="s">
        <v>43</v>
      </c>
      <c r="H9" t="s">
        <v>44</v>
      </c>
    </row>
    <row r="10" spans="2:11" x14ac:dyDescent="0.25">
      <c r="C10" t="s">
        <v>45</v>
      </c>
      <c r="D10" s="30"/>
      <c r="E10" t="s">
        <v>24</v>
      </c>
      <c r="F10" s="1">
        <v>2600</v>
      </c>
      <c r="G10" s="1">
        <f>Tabel_1.3_Molio[[#This Row],[Mængde]]*Tabel_1.3_Molio[[#This Row],[Pris pr. enhed]]</f>
        <v>0</v>
      </c>
      <c r="H10" t="s">
        <v>48</v>
      </c>
    </row>
    <row r="11" spans="2:11" x14ac:dyDescent="0.25">
      <c r="C11" t="s">
        <v>46</v>
      </c>
      <c r="D11" s="30"/>
      <c r="E11" t="s">
        <v>24</v>
      </c>
      <c r="F11" s="1">
        <v>480</v>
      </c>
      <c r="G11" s="1">
        <f>Tabel_1.3_Molio[[#This Row],[Mængde]]*Tabel_1.3_Molio[[#This Row],[Pris pr. enhed]]</f>
        <v>0</v>
      </c>
      <c r="H11" t="s">
        <v>49</v>
      </c>
    </row>
    <row r="12" spans="2:11" x14ac:dyDescent="0.25">
      <c r="C12" t="s">
        <v>47</v>
      </c>
      <c r="D12" s="30"/>
      <c r="E12" t="s">
        <v>24</v>
      </c>
      <c r="F12" s="1">
        <v>310</v>
      </c>
      <c r="G12" s="1">
        <f>Tabel_1.3_Molio[[#This Row],[Mængde]]*Tabel_1.3_Molio[[#This Row],[Pris pr. enhed]]</f>
        <v>0</v>
      </c>
      <c r="H12" t="s">
        <v>50</v>
      </c>
    </row>
    <row r="13" spans="2:11" x14ac:dyDescent="0.25">
      <c r="C13" t="s">
        <v>59</v>
      </c>
      <c r="G13" s="1">
        <f>SUBTOTAL(109,Tabel_1.3_Molio[Beregnet budget])</f>
        <v>0</v>
      </c>
    </row>
    <row r="15" spans="2:11" ht="18.75" x14ac:dyDescent="0.3">
      <c r="C15" s="35" t="str">
        <f>HYPERLINK("#Samleark!RangeBudgetStart","Til Samleark")</f>
        <v>Til Samleark</v>
      </c>
      <c r="F15" s="35" t="str">
        <f>HYPERLINK("#Vejledning!RangeVejledningStart","Til Vejledning")</f>
        <v>Til Vejledning</v>
      </c>
    </row>
    <row r="17" spans="2:11" ht="20.25" thickBot="1" x14ac:dyDescent="0.35">
      <c r="B17" s="31" t="s">
        <v>255</v>
      </c>
      <c r="C17" s="31" t="s">
        <v>226</v>
      </c>
      <c r="D17" s="31"/>
      <c r="E17" s="31"/>
      <c r="F17" s="31"/>
      <c r="G17" s="31"/>
      <c r="H17" s="31"/>
      <c r="I17" s="31"/>
      <c r="J17" s="31"/>
      <c r="K17" s="31"/>
    </row>
    <row r="18" spans="2:11" ht="15.75" thickTop="1" x14ac:dyDescent="0.25"/>
    <row r="19" spans="2:11" x14ac:dyDescent="0.25">
      <c r="B19" s="114" t="s">
        <v>6</v>
      </c>
      <c r="C19" s="115"/>
      <c r="D19" s="115"/>
      <c r="E19" s="115"/>
      <c r="F19" s="115"/>
      <c r="G19" s="115"/>
      <c r="H19" s="115"/>
      <c r="I19" s="116" t="s">
        <v>7</v>
      </c>
      <c r="J19" s="117"/>
      <c r="K19" s="118"/>
    </row>
    <row r="20" spans="2:11" x14ac:dyDescent="0.25">
      <c r="B20" s="3"/>
      <c r="C20" s="4"/>
      <c r="D20" s="3"/>
      <c r="E20" s="26"/>
      <c r="F20" s="109" t="s">
        <v>30</v>
      </c>
      <c r="G20" s="110"/>
      <c r="H20" s="111"/>
      <c r="I20" s="112" t="s">
        <v>31</v>
      </c>
      <c r="J20" s="112"/>
      <c r="K20" s="113"/>
    </row>
    <row r="21" spans="2:11" ht="75" x14ac:dyDescent="0.25">
      <c r="B21" s="5" t="s">
        <v>268</v>
      </c>
      <c r="C21" s="6" t="s">
        <v>0</v>
      </c>
      <c r="D21" s="5" t="s">
        <v>1</v>
      </c>
      <c r="E21" s="27" t="s">
        <v>2</v>
      </c>
      <c r="F21" s="9" t="s">
        <v>27</v>
      </c>
      <c r="G21" s="2" t="s">
        <v>28</v>
      </c>
      <c r="H21" s="10" t="s">
        <v>29</v>
      </c>
      <c r="I21" s="14" t="s">
        <v>3</v>
      </c>
      <c r="J21" s="15" t="s">
        <v>4</v>
      </c>
      <c r="K21" s="16" t="s">
        <v>5</v>
      </c>
    </row>
    <row r="22" spans="2:11" x14ac:dyDescent="0.25">
      <c r="B22" s="19" t="s">
        <v>54</v>
      </c>
      <c r="C22" s="20"/>
      <c r="D22" s="21"/>
      <c r="E22" s="28"/>
      <c r="F22" s="22"/>
      <c r="G22" s="23"/>
      <c r="H22" s="24"/>
      <c r="I22" s="11">
        <f>Tabel_1.3_SK[[#This Row],[Mængde]]*(Tabel_1.3_SK[[#This Row],[a. 
Den absolut mindste enhedspris, der forekommer mulig
(Optimistisk)]]
+3*Tabel_1.3_SK[[#This Row],[b. 
Den mest sandsynlige enhedspris]]
+Tabel_1.3_SK[[#This Row],[c. 
Den absolut størst tænkelige enhedspris
(pessimistisk)]])/5</f>
        <v>0</v>
      </c>
      <c r="J22" s="1">
        <f>Tabel_1.3_SK[[#This Row],[Mængde]]*(Tabel_1.3_SK[[#This Row],[c. 
Den absolut størst tænkelige enhedspris
(pessimistisk)]]
-Tabel_1.3_SK[[#This Row],[a. 
Den absolut mindste enhedspris, der forekommer mulig
(Optimistisk)]])/5</f>
        <v>0</v>
      </c>
      <c r="K22" s="12">
        <f>Tabel_1.3_SK[[#This Row],[s.
spredningen
(standardafvigelsen)]]^2*0.000001</f>
        <v>0</v>
      </c>
    </row>
    <row r="23" spans="2:11" x14ac:dyDescent="0.25">
      <c r="B23" s="19" t="s">
        <v>55</v>
      </c>
      <c r="C23" s="20"/>
      <c r="D23" s="21"/>
      <c r="E23" s="28"/>
      <c r="F23" s="22"/>
      <c r="G23" s="23"/>
      <c r="H23" s="24"/>
      <c r="I23" s="11">
        <f>Tabel_1.3_SK[[#This Row],[Mængde]]*(Tabel_1.3_SK[[#This Row],[a. 
Den absolut mindste enhedspris, der forekommer mulig
(Optimistisk)]]
+3*Tabel_1.3_SK[[#This Row],[b. 
Den mest sandsynlige enhedspris]]
+Tabel_1.3_SK[[#This Row],[c. 
Den absolut størst tænkelige enhedspris
(pessimistisk)]])/5</f>
        <v>0</v>
      </c>
      <c r="J23" s="1">
        <f>Tabel_1.3_SK[[#This Row],[Mængde]]*(Tabel_1.3_SK[[#This Row],[c. 
Den absolut størst tænkelige enhedspris
(pessimistisk)]]
-Tabel_1.3_SK[[#This Row],[a. 
Den absolut mindste enhedspris, der forekommer mulig
(Optimistisk)]])/5</f>
        <v>0</v>
      </c>
      <c r="K23" s="12">
        <f>Tabel_1.3_SK[[#This Row],[s.
spredningen
(standardafvigelsen)]]^2*0.000001</f>
        <v>0</v>
      </c>
    </row>
    <row r="24" spans="2:11" x14ac:dyDescent="0.25">
      <c r="B24" s="19" t="s">
        <v>56</v>
      </c>
      <c r="C24" s="20"/>
      <c r="D24" s="21"/>
      <c r="E24" s="28"/>
      <c r="F24" s="22"/>
      <c r="G24" s="23"/>
      <c r="H24" s="24"/>
      <c r="I24" s="11">
        <f>Tabel_1.3_SK[[#This Row],[Mængde]]*(Tabel_1.3_SK[[#This Row],[a. 
Den absolut mindste enhedspris, der forekommer mulig
(Optimistisk)]]
+3*Tabel_1.3_SK[[#This Row],[b. 
Den mest sandsynlige enhedspris]]
+Tabel_1.3_SK[[#This Row],[c. 
Den absolut størst tænkelige enhedspris
(pessimistisk)]])/5</f>
        <v>0</v>
      </c>
      <c r="J24" s="1">
        <f>Tabel_1.3_SK[[#This Row],[Mængde]]*(Tabel_1.3_SK[[#This Row],[c. 
Den absolut størst tænkelige enhedspris
(pessimistisk)]]
-Tabel_1.3_SK[[#This Row],[a. 
Den absolut mindste enhedspris, der forekommer mulig
(Optimistisk)]])/5</f>
        <v>0</v>
      </c>
      <c r="K24" s="12">
        <f>Tabel_1.3_SK[[#This Row],[s.
spredningen
(standardafvigelsen)]]^2*0.000001</f>
        <v>0</v>
      </c>
    </row>
    <row r="25" spans="2:11" x14ac:dyDescent="0.25">
      <c r="B25" s="19"/>
      <c r="C25" s="20"/>
      <c r="D25" s="21"/>
      <c r="E25" s="28"/>
      <c r="F25" s="22"/>
      <c r="G25" s="23"/>
      <c r="H25" s="24"/>
      <c r="I25" s="11">
        <f>Tabel_1.3_SK[[#This Row],[Mængde]]*(Tabel_1.3_SK[[#This Row],[a. 
Den absolut mindste enhedspris, der forekommer mulig
(Optimistisk)]]
+3*Tabel_1.3_SK[[#This Row],[b. 
Den mest sandsynlige enhedspris]]
+Tabel_1.3_SK[[#This Row],[c. 
Den absolut størst tænkelige enhedspris
(pessimistisk)]])/5</f>
        <v>0</v>
      </c>
      <c r="J25" s="1">
        <f>Tabel_1.3_SK[[#This Row],[Mængde]]*(Tabel_1.3_SK[[#This Row],[c. 
Den absolut størst tænkelige enhedspris
(pessimistisk)]]
-Tabel_1.3_SK[[#This Row],[a. 
Den absolut mindste enhedspris, der forekommer mulig
(Optimistisk)]])/5</f>
        <v>0</v>
      </c>
      <c r="K25" s="12">
        <f>Tabel_1.3_SK[[#This Row],[s.
spredningen
(standardafvigelsen)]]^2*0.000001</f>
        <v>0</v>
      </c>
    </row>
    <row r="26" spans="2:11" x14ac:dyDescent="0.25">
      <c r="B26" s="19"/>
      <c r="C26" s="20"/>
      <c r="D26" s="21"/>
      <c r="E26" s="28"/>
      <c r="F26" s="22"/>
      <c r="G26" s="23"/>
      <c r="H26" s="24"/>
      <c r="I26" s="11">
        <f>Tabel_1.3_SK[[#This Row],[Mængde]]*(Tabel_1.3_SK[[#This Row],[a. 
Den absolut mindste enhedspris, der forekommer mulig
(Optimistisk)]]
+3*Tabel_1.3_SK[[#This Row],[b. 
Den mest sandsynlige enhedspris]]
+Tabel_1.3_SK[[#This Row],[c. 
Den absolut størst tænkelige enhedspris
(pessimistisk)]])/5</f>
        <v>0</v>
      </c>
      <c r="J26" s="1">
        <f>Tabel_1.3_SK[[#This Row],[Mængde]]*(Tabel_1.3_SK[[#This Row],[c. 
Den absolut størst tænkelige enhedspris
(pessimistisk)]]
-Tabel_1.3_SK[[#This Row],[a. 
Den absolut mindste enhedspris, der forekommer mulig
(Optimistisk)]])/5</f>
        <v>0</v>
      </c>
      <c r="K26" s="12">
        <f>Tabel_1.3_SK[[#This Row],[s.
spredningen
(standardafvigelsen)]]^2*0.000001</f>
        <v>0</v>
      </c>
    </row>
    <row r="27" spans="2:11" x14ac:dyDescent="0.25">
      <c r="B27" s="19"/>
      <c r="C27" s="20"/>
      <c r="D27" s="21"/>
      <c r="E27" s="28"/>
      <c r="F27" s="22"/>
      <c r="G27" s="23"/>
      <c r="H27" s="24"/>
      <c r="I27" s="11">
        <f>Tabel_1.3_SK[[#This Row],[Mængde]]*(Tabel_1.3_SK[[#This Row],[a. 
Den absolut mindste enhedspris, der forekommer mulig
(Optimistisk)]]
+3*Tabel_1.3_SK[[#This Row],[b. 
Den mest sandsynlige enhedspris]]
+Tabel_1.3_SK[[#This Row],[c. 
Den absolut størst tænkelige enhedspris
(pessimistisk)]])/5</f>
        <v>0</v>
      </c>
      <c r="J27" s="1">
        <f>Tabel_1.3_SK[[#This Row],[Mængde]]*(Tabel_1.3_SK[[#This Row],[c. 
Den absolut størst tænkelige enhedspris
(pessimistisk)]]
-Tabel_1.3_SK[[#This Row],[a. 
Den absolut mindste enhedspris, der forekommer mulig
(Optimistisk)]])/5</f>
        <v>0</v>
      </c>
      <c r="K27" s="12">
        <f>Tabel_1.3_SK[[#This Row],[s.
spredningen
(standardafvigelsen)]]^2*0.000001</f>
        <v>0</v>
      </c>
    </row>
    <row r="28" spans="2:11" x14ac:dyDescent="0.25">
      <c r="B28" s="19"/>
      <c r="C28" s="20"/>
      <c r="D28" s="21"/>
      <c r="E28" s="28"/>
      <c r="F28" s="22"/>
      <c r="G28" s="23"/>
      <c r="H28" s="24"/>
      <c r="I28" s="11">
        <f>Tabel_1.3_SK[[#This Row],[Mængde]]*(Tabel_1.3_SK[[#This Row],[a. 
Den absolut mindste enhedspris, der forekommer mulig
(Optimistisk)]]
+3*Tabel_1.3_SK[[#This Row],[b. 
Den mest sandsynlige enhedspris]]
+Tabel_1.3_SK[[#This Row],[c. 
Den absolut størst tænkelige enhedspris
(pessimistisk)]])/5</f>
        <v>0</v>
      </c>
      <c r="J28" s="1">
        <f>Tabel_1.3_SK[[#This Row],[Mængde]]*(Tabel_1.3_SK[[#This Row],[c. 
Den absolut størst tænkelige enhedspris
(pessimistisk)]]
-Tabel_1.3_SK[[#This Row],[a. 
Den absolut mindste enhedspris, der forekommer mulig
(Optimistisk)]])/5</f>
        <v>0</v>
      </c>
      <c r="K28" s="12">
        <f>Tabel_1.3_SK[[#This Row],[s.
spredningen
(standardafvigelsen)]]^2*0.000001</f>
        <v>0</v>
      </c>
    </row>
    <row r="29" spans="2:11" x14ac:dyDescent="0.25">
      <c r="B29" s="19"/>
      <c r="C29" s="20"/>
      <c r="D29" s="21"/>
      <c r="E29" s="28"/>
      <c r="F29" s="22"/>
      <c r="G29" s="23"/>
      <c r="H29" s="24"/>
      <c r="I29" s="11">
        <f>Tabel_1.3_SK[[#This Row],[Mængde]]*(Tabel_1.3_SK[[#This Row],[a. 
Den absolut mindste enhedspris, der forekommer mulig
(Optimistisk)]]
+3*Tabel_1.3_SK[[#This Row],[b. 
Den mest sandsynlige enhedspris]]
+Tabel_1.3_SK[[#This Row],[c. 
Den absolut størst tænkelige enhedspris
(pessimistisk)]])/5</f>
        <v>0</v>
      </c>
      <c r="J29" s="1">
        <f>Tabel_1.3_SK[[#This Row],[Mængde]]*(Tabel_1.3_SK[[#This Row],[c. 
Den absolut størst tænkelige enhedspris
(pessimistisk)]]
-Tabel_1.3_SK[[#This Row],[a. 
Den absolut mindste enhedspris, der forekommer mulig
(Optimistisk)]])/5</f>
        <v>0</v>
      </c>
      <c r="K29" s="12">
        <f>Tabel_1.3_SK[[#This Row],[s.
spredningen
(standardafvigelsen)]]^2*0.000001</f>
        <v>0</v>
      </c>
    </row>
    <row r="30" spans="2:11" x14ac:dyDescent="0.25">
      <c r="B30" s="19"/>
      <c r="C30" s="20"/>
      <c r="D30" s="21"/>
      <c r="E30" s="28"/>
      <c r="F30" s="22"/>
      <c r="G30" s="23"/>
      <c r="H30" s="24"/>
      <c r="I30" s="11">
        <f>Tabel_1.3_SK[[#This Row],[Mængde]]*(Tabel_1.3_SK[[#This Row],[a. 
Den absolut mindste enhedspris, der forekommer mulig
(Optimistisk)]]
+3*Tabel_1.3_SK[[#This Row],[b. 
Den mest sandsynlige enhedspris]]
+Tabel_1.3_SK[[#This Row],[c. 
Den absolut størst tænkelige enhedspris
(pessimistisk)]])/5</f>
        <v>0</v>
      </c>
      <c r="J30" s="1">
        <f>Tabel_1.3_SK[[#This Row],[Mængde]]*(Tabel_1.3_SK[[#This Row],[c. 
Den absolut størst tænkelige enhedspris
(pessimistisk)]]
-Tabel_1.3_SK[[#This Row],[a. 
Den absolut mindste enhedspris, der forekommer mulig
(Optimistisk)]])/5</f>
        <v>0</v>
      </c>
      <c r="K30" s="12">
        <f>Tabel_1.3_SK[[#This Row],[s.
spredningen
(standardafvigelsen)]]^2*0.000001</f>
        <v>0</v>
      </c>
    </row>
    <row r="31" spans="2:11" x14ac:dyDescent="0.25">
      <c r="B31" s="7" t="s">
        <v>41</v>
      </c>
      <c r="C31" s="8" t="s">
        <v>42</v>
      </c>
      <c r="D31" s="7"/>
      <c r="E31" s="29"/>
      <c r="F31" s="7"/>
      <c r="G31" s="13"/>
      <c r="H31" s="8"/>
      <c r="I31" s="17">
        <f>SUBTOTAL(109,Tabel_1.3_SK[m.
Den forventede værdi (middelværdi)])</f>
        <v>0</v>
      </c>
      <c r="J31" s="13"/>
      <c r="K31" s="18">
        <f>SUBTOTAL(109,Tabel_1.3_SK[v.
varians (s2x10-7)])</f>
        <v>0</v>
      </c>
    </row>
    <row r="33" spans="3:6" ht="18.75" x14ac:dyDescent="0.3">
      <c r="C33" s="35" t="str">
        <f>HYPERLINK("#Samleark!RangeBudgetStart","Til Samleark")</f>
        <v>Til Samleark</v>
      </c>
      <c r="F33" s="35" t="str">
        <f>HYPERLINK("#Vejledning!RangeVejledningStart","Til Vejledning")</f>
        <v>Til Vejledning</v>
      </c>
    </row>
  </sheetData>
  <mergeCells count="5">
    <mergeCell ref="F20:H20"/>
    <mergeCell ref="I20:K20"/>
    <mergeCell ref="E8:H8"/>
    <mergeCell ref="B19:H19"/>
    <mergeCell ref="I19:K19"/>
  </mergeCells>
  <dataValidations count="1">
    <dataValidation type="decimal" operator="greaterThanOrEqual" allowBlank="1" showInputMessage="1" showErrorMessage="1" errorTitle="Indtast et positivt tal" error="Indtast et tal større end eller lig med 0." sqref="D10:D12 D22:D30 F22:H30" xr:uid="{0C795186-0282-4FBC-99AE-4AF9763E143C}">
      <formula1>0</formula1>
    </dataValidation>
  </dataValidations>
  <pageMargins left="0.70866141732283472" right="0.70866141732283472" top="0.74803149606299213" bottom="0.74803149606299213" header="0.31496062992125984" footer="0.31496062992125984"/>
  <pageSetup paperSize="9" scale="37" orientation="portrait" cellComments="asDisplayed" r:id="rId1"/>
  <headerFooter>
    <oddHeader>&amp;L&amp;G</oddHeader>
    <oddFooter>&amp;RAU Bygninger
Udarbejdet af: MOSA</oddFooter>
  </headerFooter>
  <legacyDrawingHF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48D74-B9CE-4E1A-9259-448219C0688D}">
  <sheetPr>
    <tabColor rgb="FF92D050"/>
    <pageSetUpPr fitToPage="1"/>
  </sheetPr>
  <dimension ref="A2:L18"/>
  <sheetViews>
    <sheetView showGridLines="0" zoomScaleNormal="100" workbookViewId="0">
      <selection activeCell="E30" sqref="E30"/>
    </sheetView>
  </sheetViews>
  <sheetFormatPr defaultColWidth="0" defaultRowHeight="15" x14ac:dyDescent="0.25"/>
  <cols>
    <col min="1" max="1" width="2.7109375" customWidth="1"/>
    <col min="2" max="2" width="7.5703125" bestFit="1" customWidth="1"/>
    <col min="3" max="3" width="51" bestFit="1" customWidth="1"/>
    <col min="4" max="4" width="10.85546875" customWidth="1"/>
    <col min="5" max="5" width="9.140625" customWidth="1"/>
    <col min="6" max="8" width="26.7109375" customWidth="1"/>
    <col min="9" max="11" width="20.7109375" customWidth="1"/>
    <col min="12" max="12" width="2.7109375" customWidth="1"/>
    <col min="13" max="16384" width="9.140625" hidden="1"/>
  </cols>
  <sheetData>
    <row r="2" spans="2:11" ht="20.25" thickBot="1" x14ac:dyDescent="0.35">
      <c r="B2" s="31" t="s">
        <v>76</v>
      </c>
      <c r="C2" s="31" t="s">
        <v>227</v>
      </c>
      <c r="D2" s="31"/>
      <c r="E2" s="31"/>
      <c r="F2" s="31"/>
      <c r="G2" s="31"/>
      <c r="H2" s="31"/>
      <c r="I2" s="31"/>
      <c r="J2" s="31"/>
      <c r="K2" s="31"/>
    </row>
    <row r="3" spans="2:11" ht="15.75" thickTop="1" x14ac:dyDescent="0.25"/>
    <row r="4" spans="2:11" x14ac:dyDescent="0.25">
      <c r="B4" s="114" t="s">
        <v>6</v>
      </c>
      <c r="C4" s="115"/>
      <c r="D4" s="115"/>
      <c r="E4" s="115"/>
      <c r="F4" s="115"/>
      <c r="G4" s="115"/>
      <c r="H4" s="115"/>
      <c r="I4" s="116" t="s">
        <v>7</v>
      </c>
      <c r="J4" s="117"/>
      <c r="K4" s="118"/>
    </row>
    <row r="5" spans="2:11" x14ac:dyDescent="0.25">
      <c r="B5" s="3"/>
      <c r="C5" s="4"/>
      <c r="D5" s="3"/>
      <c r="E5" s="4"/>
      <c r="F5" s="109" t="s">
        <v>30</v>
      </c>
      <c r="G5" s="110"/>
      <c r="H5" s="111"/>
      <c r="I5" s="112" t="s">
        <v>31</v>
      </c>
      <c r="J5" s="112"/>
      <c r="K5" s="113"/>
    </row>
    <row r="6" spans="2:11" ht="75" x14ac:dyDescent="0.25">
      <c r="B6" s="5" t="s">
        <v>268</v>
      </c>
      <c r="C6" s="6" t="s">
        <v>0</v>
      </c>
      <c r="D6" s="5" t="s">
        <v>1</v>
      </c>
      <c r="E6" s="6" t="s">
        <v>2</v>
      </c>
      <c r="F6" s="9" t="s">
        <v>27</v>
      </c>
      <c r="G6" s="2" t="s">
        <v>28</v>
      </c>
      <c r="H6" s="10" t="s">
        <v>29</v>
      </c>
      <c r="I6" s="14" t="s">
        <v>3</v>
      </c>
      <c r="J6" s="15" t="s">
        <v>4</v>
      </c>
      <c r="K6" s="16" t="s">
        <v>5</v>
      </c>
    </row>
    <row r="7" spans="2:11" x14ac:dyDescent="0.25">
      <c r="B7" s="19" t="s">
        <v>95</v>
      </c>
      <c r="C7" s="20" t="s">
        <v>96</v>
      </c>
      <c r="D7" s="21"/>
      <c r="E7" s="20"/>
      <c r="F7" s="22"/>
      <c r="G7" s="23"/>
      <c r="H7" s="24"/>
      <c r="I7" s="11">
        <f>Tabel_1.4_SK[[#This Row],[Mængde]]*(Tabel_1.4_SK[[#This Row],[a. 
Den absolut mindste enhedspris, der forekommer mulig
(Optimistisk)]]
+3*Tabel_1.4_SK[[#This Row],[b. 
Den mest sandsynlige enhedspris]]
+Tabel_1.4_SK[[#This Row],[c. 
Den absolut størst tænkelige enhedspris
(pessimistisk)]])/5</f>
        <v>0</v>
      </c>
      <c r="J7" s="1">
        <f>Tabel_1.4_SK[[#This Row],[Mængde]]*(Tabel_1.4_SK[[#This Row],[c. 
Den absolut størst tænkelige enhedspris
(pessimistisk)]]
-Tabel_1.4_SK[[#This Row],[a. 
Den absolut mindste enhedspris, der forekommer mulig
(Optimistisk)]])/5</f>
        <v>0</v>
      </c>
      <c r="K7" s="12">
        <f>Tabel_1.4_SK[[#This Row],[s.
spredningen
(standardafvigelsen)]]^2*0.000001</f>
        <v>0</v>
      </c>
    </row>
    <row r="8" spans="2:11" x14ac:dyDescent="0.25">
      <c r="B8" s="19" t="s">
        <v>97</v>
      </c>
      <c r="C8" s="20" t="s">
        <v>98</v>
      </c>
      <c r="D8" s="21"/>
      <c r="E8" s="20"/>
      <c r="F8" s="22"/>
      <c r="G8" s="23"/>
      <c r="H8" s="24"/>
      <c r="I8" s="11">
        <f>Tabel_1.4_SK[[#This Row],[Mængde]]*(Tabel_1.4_SK[[#This Row],[a. 
Den absolut mindste enhedspris, der forekommer mulig
(Optimistisk)]]
+3*Tabel_1.4_SK[[#This Row],[b. 
Den mest sandsynlige enhedspris]]
+Tabel_1.4_SK[[#This Row],[c. 
Den absolut størst tænkelige enhedspris
(pessimistisk)]])/5</f>
        <v>0</v>
      </c>
      <c r="J8" s="1">
        <f>Tabel_1.4_SK[[#This Row],[Mængde]]*(Tabel_1.4_SK[[#This Row],[c. 
Den absolut størst tænkelige enhedspris
(pessimistisk)]]
-Tabel_1.4_SK[[#This Row],[a. 
Den absolut mindste enhedspris, der forekommer mulig
(Optimistisk)]])/5</f>
        <v>0</v>
      </c>
      <c r="K8" s="12">
        <f>Tabel_1.4_SK[[#This Row],[s.
spredningen
(standardafvigelsen)]]^2*0.000001</f>
        <v>0</v>
      </c>
    </row>
    <row r="9" spans="2:11" x14ac:dyDescent="0.25">
      <c r="B9" s="19" t="s">
        <v>99</v>
      </c>
      <c r="C9" s="20" t="s">
        <v>100</v>
      </c>
      <c r="D9" s="21"/>
      <c r="E9" s="20"/>
      <c r="F9" s="22"/>
      <c r="G9" s="23"/>
      <c r="H9" s="24"/>
      <c r="I9" s="11">
        <f>Tabel_1.4_SK[[#This Row],[Mængde]]*(Tabel_1.4_SK[[#This Row],[a. 
Den absolut mindste enhedspris, der forekommer mulig
(Optimistisk)]]
+3*Tabel_1.4_SK[[#This Row],[b. 
Den mest sandsynlige enhedspris]]
+Tabel_1.4_SK[[#This Row],[c. 
Den absolut størst tænkelige enhedspris
(pessimistisk)]])/5</f>
        <v>0</v>
      </c>
      <c r="J9" s="1">
        <f>Tabel_1.4_SK[[#This Row],[Mængde]]*(Tabel_1.4_SK[[#This Row],[c. 
Den absolut størst tænkelige enhedspris
(pessimistisk)]]
-Tabel_1.4_SK[[#This Row],[a. 
Den absolut mindste enhedspris, der forekommer mulig
(Optimistisk)]])/5</f>
        <v>0</v>
      </c>
      <c r="K9" s="12">
        <f>Tabel_1.4_SK[[#This Row],[s.
spredningen
(standardafvigelsen)]]^2*0.000001</f>
        <v>0</v>
      </c>
    </row>
    <row r="10" spans="2:11" x14ac:dyDescent="0.25">
      <c r="B10" s="19" t="s">
        <v>101</v>
      </c>
      <c r="C10" s="20"/>
      <c r="D10" s="21"/>
      <c r="E10" s="20"/>
      <c r="F10" s="22"/>
      <c r="G10" s="23"/>
      <c r="H10" s="24"/>
      <c r="I10" s="11">
        <f>Tabel_1.4_SK[[#This Row],[Mængde]]*(Tabel_1.4_SK[[#This Row],[a. 
Den absolut mindste enhedspris, der forekommer mulig
(Optimistisk)]]
+3*Tabel_1.4_SK[[#This Row],[b. 
Den mest sandsynlige enhedspris]]
+Tabel_1.4_SK[[#This Row],[c. 
Den absolut størst tænkelige enhedspris
(pessimistisk)]])/5</f>
        <v>0</v>
      </c>
      <c r="J10" s="1">
        <f>Tabel_1.4_SK[[#This Row],[Mængde]]*(Tabel_1.4_SK[[#This Row],[c. 
Den absolut størst tænkelige enhedspris
(pessimistisk)]]
-Tabel_1.4_SK[[#This Row],[a. 
Den absolut mindste enhedspris, der forekommer mulig
(Optimistisk)]])/5</f>
        <v>0</v>
      </c>
      <c r="K10" s="12">
        <f>Tabel_1.4_SK[[#This Row],[s.
spredningen
(standardafvigelsen)]]^2*0.000001</f>
        <v>0</v>
      </c>
    </row>
    <row r="11" spans="2:11" x14ac:dyDescent="0.25">
      <c r="B11" s="19" t="s">
        <v>102</v>
      </c>
      <c r="C11" s="20"/>
      <c r="D11" s="21"/>
      <c r="E11" s="20"/>
      <c r="F11" s="22"/>
      <c r="G11" s="23"/>
      <c r="H11" s="24"/>
      <c r="I11" s="11">
        <f>Tabel_1.4_SK[[#This Row],[Mængde]]*(Tabel_1.4_SK[[#This Row],[a. 
Den absolut mindste enhedspris, der forekommer mulig
(Optimistisk)]]
+3*Tabel_1.4_SK[[#This Row],[b. 
Den mest sandsynlige enhedspris]]
+Tabel_1.4_SK[[#This Row],[c. 
Den absolut størst tænkelige enhedspris
(pessimistisk)]])/5</f>
        <v>0</v>
      </c>
      <c r="J11" s="1">
        <f>Tabel_1.4_SK[[#This Row],[Mængde]]*(Tabel_1.4_SK[[#This Row],[c. 
Den absolut størst tænkelige enhedspris
(pessimistisk)]]
-Tabel_1.4_SK[[#This Row],[a. 
Den absolut mindste enhedspris, der forekommer mulig
(Optimistisk)]])/5</f>
        <v>0</v>
      </c>
      <c r="K11" s="12">
        <f>Tabel_1.4_SK[[#This Row],[s.
spredningen
(standardafvigelsen)]]^2*0.000001</f>
        <v>0</v>
      </c>
    </row>
    <row r="12" spans="2:11" x14ac:dyDescent="0.25">
      <c r="B12" s="19" t="s">
        <v>103</v>
      </c>
      <c r="C12" s="20"/>
      <c r="D12" s="21"/>
      <c r="E12" s="20"/>
      <c r="F12" s="22"/>
      <c r="G12" s="23"/>
      <c r="H12" s="24"/>
      <c r="I12" s="11">
        <f>Tabel_1.4_SK[[#This Row],[Mængde]]*(Tabel_1.4_SK[[#This Row],[a. 
Den absolut mindste enhedspris, der forekommer mulig
(Optimistisk)]]
+3*Tabel_1.4_SK[[#This Row],[b. 
Den mest sandsynlige enhedspris]]
+Tabel_1.4_SK[[#This Row],[c. 
Den absolut størst tænkelige enhedspris
(pessimistisk)]])/5</f>
        <v>0</v>
      </c>
      <c r="J12" s="1">
        <f>Tabel_1.4_SK[[#This Row],[Mængde]]*(Tabel_1.4_SK[[#This Row],[c. 
Den absolut størst tænkelige enhedspris
(pessimistisk)]]
-Tabel_1.4_SK[[#This Row],[a. 
Den absolut mindste enhedspris, der forekommer mulig
(Optimistisk)]])/5</f>
        <v>0</v>
      </c>
      <c r="K12" s="12">
        <f>Tabel_1.4_SK[[#This Row],[s.
spredningen
(standardafvigelsen)]]^2*0.000001</f>
        <v>0</v>
      </c>
    </row>
    <row r="13" spans="2:11" x14ac:dyDescent="0.25">
      <c r="B13" s="19"/>
      <c r="C13" s="20"/>
      <c r="D13" s="21"/>
      <c r="E13" s="20"/>
      <c r="F13" s="22"/>
      <c r="G13" s="23"/>
      <c r="H13" s="24"/>
      <c r="I13" s="11">
        <f>Tabel_1.4_SK[[#This Row],[Mængde]]*(Tabel_1.4_SK[[#This Row],[a. 
Den absolut mindste enhedspris, der forekommer mulig
(Optimistisk)]]
+3*Tabel_1.4_SK[[#This Row],[b. 
Den mest sandsynlige enhedspris]]
+Tabel_1.4_SK[[#This Row],[c. 
Den absolut størst tænkelige enhedspris
(pessimistisk)]])/5</f>
        <v>0</v>
      </c>
      <c r="J13" s="1">
        <f>Tabel_1.4_SK[[#This Row],[Mængde]]*(Tabel_1.4_SK[[#This Row],[c. 
Den absolut størst tænkelige enhedspris
(pessimistisk)]]
-Tabel_1.4_SK[[#This Row],[a. 
Den absolut mindste enhedspris, der forekommer mulig
(Optimistisk)]])/5</f>
        <v>0</v>
      </c>
      <c r="K13" s="12">
        <f>Tabel_1.4_SK[[#This Row],[s.
spredningen
(standardafvigelsen)]]^2*0.000001</f>
        <v>0</v>
      </c>
    </row>
    <row r="14" spans="2:11" x14ac:dyDescent="0.25">
      <c r="B14" s="19"/>
      <c r="C14" s="20"/>
      <c r="D14" s="21"/>
      <c r="E14" s="20"/>
      <c r="F14" s="22"/>
      <c r="G14" s="23"/>
      <c r="H14" s="24"/>
      <c r="I14" s="11">
        <f>Tabel_1.4_SK[[#This Row],[Mængde]]*(Tabel_1.4_SK[[#This Row],[a. 
Den absolut mindste enhedspris, der forekommer mulig
(Optimistisk)]]
+3*Tabel_1.4_SK[[#This Row],[b. 
Den mest sandsynlige enhedspris]]
+Tabel_1.4_SK[[#This Row],[c. 
Den absolut størst tænkelige enhedspris
(pessimistisk)]])/5</f>
        <v>0</v>
      </c>
      <c r="J14" s="1">
        <f>Tabel_1.4_SK[[#This Row],[Mængde]]*(Tabel_1.4_SK[[#This Row],[c. 
Den absolut størst tænkelige enhedspris
(pessimistisk)]]
-Tabel_1.4_SK[[#This Row],[a. 
Den absolut mindste enhedspris, der forekommer mulig
(Optimistisk)]])/5</f>
        <v>0</v>
      </c>
      <c r="K14" s="12">
        <f>Tabel_1.4_SK[[#This Row],[s.
spredningen
(standardafvigelsen)]]^2*0.000001</f>
        <v>0</v>
      </c>
    </row>
    <row r="15" spans="2:11" x14ac:dyDescent="0.25">
      <c r="B15" s="19"/>
      <c r="C15" s="20"/>
      <c r="D15" s="21"/>
      <c r="E15" s="20"/>
      <c r="F15" s="22"/>
      <c r="G15" s="23"/>
      <c r="H15" s="24"/>
      <c r="I15" s="11">
        <f>Tabel_1.4_SK[[#This Row],[Mængde]]*(Tabel_1.4_SK[[#This Row],[a. 
Den absolut mindste enhedspris, der forekommer mulig
(Optimistisk)]]
+3*Tabel_1.4_SK[[#This Row],[b. 
Den mest sandsynlige enhedspris]]
+Tabel_1.4_SK[[#This Row],[c. 
Den absolut størst tænkelige enhedspris
(pessimistisk)]])/5</f>
        <v>0</v>
      </c>
      <c r="J15" s="1">
        <f>Tabel_1.4_SK[[#This Row],[Mængde]]*(Tabel_1.4_SK[[#This Row],[c. 
Den absolut størst tænkelige enhedspris
(pessimistisk)]]
-Tabel_1.4_SK[[#This Row],[a. 
Den absolut mindste enhedspris, der forekommer mulig
(Optimistisk)]])/5</f>
        <v>0</v>
      </c>
      <c r="K15" s="12">
        <f>Tabel_1.4_SK[[#This Row],[s.
spredningen
(standardafvigelsen)]]^2*0.000001</f>
        <v>0</v>
      </c>
    </row>
    <row r="16" spans="2:11" x14ac:dyDescent="0.25">
      <c r="B16" s="7" t="s">
        <v>76</v>
      </c>
      <c r="C16" s="8" t="s">
        <v>104</v>
      </c>
      <c r="D16" s="7"/>
      <c r="E16" s="8"/>
      <c r="F16" s="7"/>
      <c r="G16" s="13"/>
      <c r="H16" s="8"/>
      <c r="I16" s="17">
        <f>SUBTOTAL(109,Tabel_1.4_SK[m.
Den forventede værdi (middelværdi)])</f>
        <v>0</v>
      </c>
      <c r="J16" s="13"/>
      <c r="K16" s="18">
        <f>SUBTOTAL(109,Tabel_1.4_SK[v.
varians (s2x10-7)])</f>
        <v>0</v>
      </c>
    </row>
    <row r="18" spans="3:6" ht="18.75" x14ac:dyDescent="0.3">
      <c r="C18" s="35" t="str">
        <f>HYPERLINK("#Samleark!RangeBudgetStart","Til Samleark")</f>
        <v>Til Samleark</v>
      </c>
      <c r="F18" s="35" t="str">
        <f>HYPERLINK("#Vejledning!RangeVejledningStart","Til Vejledning")</f>
        <v>Til Vejledning</v>
      </c>
    </row>
  </sheetData>
  <mergeCells count="4">
    <mergeCell ref="B4:H4"/>
    <mergeCell ref="I4:K4"/>
    <mergeCell ref="F5:H5"/>
    <mergeCell ref="I5:K5"/>
  </mergeCells>
  <dataValidations count="1">
    <dataValidation type="decimal" operator="greaterThanOrEqual" allowBlank="1" showInputMessage="1" showErrorMessage="1" errorTitle="Indtast et positivt tal" error="Indtast et tal større end eller lig med 0." sqref="D7:D15 F7:H15" xr:uid="{D9AB66F6-BF9D-4AB1-A737-3D9FEB448566}">
      <formula1>0</formula1>
    </dataValidation>
  </dataValidations>
  <pageMargins left="0.70866141732283472" right="0.70866141732283472" top="0.74803149606299213" bottom="0.74803149606299213" header="0.31496062992125984" footer="0.31496062992125984"/>
  <pageSetup paperSize="9" scale="39" orientation="portrait" cellComments="asDisplayed" r:id="rId1"/>
  <headerFooter>
    <oddHeader>&amp;L&amp;G</oddHeader>
    <oddFooter>&amp;RAU Bygninger
Udarbejdet af: MOSA</oddFooter>
  </headerFooter>
  <legacyDrawingHF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79330-1409-426B-93D2-269A1EF9E2BE}">
  <sheetPr>
    <tabColor rgb="FF92D050"/>
    <pageSetUpPr fitToPage="1"/>
  </sheetPr>
  <dimension ref="A2:L18"/>
  <sheetViews>
    <sheetView showGridLines="0" zoomScaleNormal="100" workbookViewId="0">
      <selection activeCell="D7" sqref="D7:D15"/>
    </sheetView>
  </sheetViews>
  <sheetFormatPr defaultColWidth="0" defaultRowHeight="15" x14ac:dyDescent="0.25"/>
  <cols>
    <col min="1" max="1" width="2.7109375" customWidth="1"/>
    <col min="2" max="2" width="7.5703125" bestFit="1" customWidth="1"/>
    <col min="3" max="3" width="60.28515625" bestFit="1" customWidth="1"/>
    <col min="4" max="4" width="10.85546875" customWidth="1"/>
    <col min="5" max="5" width="9.140625" customWidth="1"/>
    <col min="6" max="8" width="26.7109375" customWidth="1"/>
    <col min="9" max="11" width="20.7109375" customWidth="1"/>
    <col min="12" max="12" width="2.7109375" customWidth="1"/>
    <col min="13" max="16384" width="9.140625" hidden="1"/>
  </cols>
  <sheetData>
    <row r="2" spans="2:11" ht="20.25" thickBot="1" x14ac:dyDescent="0.35">
      <c r="B2" s="31" t="s">
        <v>78</v>
      </c>
      <c r="C2" s="31" t="s">
        <v>228</v>
      </c>
      <c r="D2" s="31"/>
      <c r="E2" s="31"/>
      <c r="F2" s="31"/>
      <c r="G2" s="31"/>
      <c r="H2" s="31"/>
      <c r="I2" s="31"/>
      <c r="J2" s="31"/>
      <c r="K2" s="31"/>
    </row>
    <row r="3" spans="2:11" ht="15.75" thickTop="1" x14ac:dyDescent="0.25"/>
    <row r="4" spans="2:11" x14ac:dyDescent="0.25">
      <c r="B4" s="114" t="s">
        <v>6</v>
      </c>
      <c r="C4" s="115"/>
      <c r="D4" s="115"/>
      <c r="E4" s="115"/>
      <c r="F4" s="115"/>
      <c r="G4" s="115"/>
      <c r="H4" s="115"/>
      <c r="I4" s="116" t="s">
        <v>7</v>
      </c>
      <c r="J4" s="117"/>
      <c r="K4" s="118"/>
    </row>
    <row r="5" spans="2:11" x14ac:dyDescent="0.25">
      <c r="B5" s="3"/>
      <c r="C5" s="4"/>
      <c r="D5" s="3"/>
      <c r="E5" s="4"/>
      <c r="F5" s="109" t="s">
        <v>30</v>
      </c>
      <c r="G5" s="110"/>
      <c r="H5" s="111"/>
      <c r="I5" s="112" t="s">
        <v>31</v>
      </c>
      <c r="J5" s="112"/>
      <c r="K5" s="113"/>
    </row>
    <row r="6" spans="2:11" ht="75" x14ac:dyDescent="0.25">
      <c r="B6" s="5" t="s">
        <v>268</v>
      </c>
      <c r="C6" s="6" t="s">
        <v>0</v>
      </c>
      <c r="D6" s="5" t="s">
        <v>1</v>
      </c>
      <c r="E6" s="6" t="s">
        <v>2</v>
      </c>
      <c r="F6" s="9" t="s">
        <v>27</v>
      </c>
      <c r="G6" s="2" t="s">
        <v>28</v>
      </c>
      <c r="H6" s="10" t="s">
        <v>29</v>
      </c>
      <c r="I6" s="14" t="s">
        <v>3</v>
      </c>
      <c r="J6" s="15" t="s">
        <v>4</v>
      </c>
      <c r="K6" s="16" t="s">
        <v>5</v>
      </c>
    </row>
    <row r="7" spans="2:11" x14ac:dyDescent="0.25">
      <c r="B7" s="19" t="s">
        <v>105</v>
      </c>
      <c r="C7" s="20" t="s">
        <v>106</v>
      </c>
      <c r="D7" s="21"/>
      <c r="E7" s="20" t="s">
        <v>24</v>
      </c>
      <c r="F7" s="22">
        <v>500</v>
      </c>
      <c r="G7" s="23">
        <v>550</v>
      </c>
      <c r="H7" s="24">
        <v>650</v>
      </c>
      <c r="I7" s="11">
        <f>Tabel_1.5_SK[[#This Row],[Mængde]]*(Tabel_1.5_SK[[#This Row],[a. 
Den absolut mindste enhedspris, der forekommer mulig
(Optimistisk)]]
+3*Tabel_1.5_SK[[#This Row],[b. 
Den mest sandsynlige enhedspris]]
+Tabel_1.5_SK[[#This Row],[c. 
Den absolut størst tænkelige enhedspris
(pessimistisk)]])/5</f>
        <v>0</v>
      </c>
      <c r="J7" s="1">
        <f>Tabel_1.5_SK[[#This Row],[Mængde]]*(Tabel_1.5_SK[[#This Row],[c. 
Den absolut størst tænkelige enhedspris
(pessimistisk)]]
-Tabel_1.5_SK[[#This Row],[a. 
Den absolut mindste enhedspris, der forekommer mulig
(Optimistisk)]])/5</f>
        <v>0</v>
      </c>
      <c r="K7" s="12">
        <f>Tabel_1.5_SK[[#This Row],[s.
spredningen
(standardafvigelsen)]]^2*0.000001</f>
        <v>0</v>
      </c>
    </row>
    <row r="8" spans="2:11" x14ac:dyDescent="0.25">
      <c r="B8" s="19" t="s">
        <v>107</v>
      </c>
      <c r="C8" s="20" t="s">
        <v>108</v>
      </c>
      <c r="D8" s="21"/>
      <c r="E8" s="20"/>
      <c r="F8" s="22"/>
      <c r="G8" s="23"/>
      <c r="H8" s="24"/>
      <c r="I8" s="11">
        <f>Tabel_1.5_SK[[#This Row],[Mængde]]*(Tabel_1.5_SK[[#This Row],[a. 
Den absolut mindste enhedspris, der forekommer mulig
(Optimistisk)]]
+3*Tabel_1.5_SK[[#This Row],[b. 
Den mest sandsynlige enhedspris]]
+Tabel_1.5_SK[[#This Row],[c. 
Den absolut størst tænkelige enhedspris
(pessimistisk)]])/5</f>
        <v>0</v>
      </c>
      <c r="J8" s="1">
        <f>Tabel_1.5_SK[[#This Row],[Mængde]]*(Tabel_1.5_SK[[#This Row],[c. 
Den absolut størst tænkelige enhedspris
(pessimistisk)]]
-Tabel_1.5_SK[[#This Row],[a. 
Den absolut mindste enhedspris, der forekommer mulig
(Optimistisk)]])/5</f>
        <v>0</v>
      </c>
      <c r="K8" s="12">
        <f>Tabel_1.5_SK[[#This Row],[s.
spredningen
(standardafvigelsen)]]^2*0.000001</f>
        <v>0</v>
      </c>
    </row>
    <row r="9" spans="2:11" x14ac:dyDescent="0.25">
      <c r="B9" s="19" t="s">
        <v>109</v>
      </c>
      <c r="C9" s="20" t="s">
        <v>110</v>
      </c>
      <c r="D9" s="21"/>
      <c r="E9" s="20"/>
      <c r="F9" s="22"/>
      <c r="G9" s="23"/>
      <c r="H9" s="24"/>
      <c r="I9" s="11">
        <f>Tabel_1.5_SK[[#This Row],[Mængde]]*(Tabel_1.5_SK[[#This Row],[a. 
Den absolut mindste enhedspris, der forekommer mulig
(Optimistisk)]]
+3*Tabel_1.5_SK[[#This Row],[b. 
Den mest sandsynlige enhedspris]]
+Tabel_1.5_SK[[#This Row],[c. 
Den absolut størst tænkelige enhedspris
(pessimistisk)]])/5</f>
        <v>0</v>
      </c>
      <c r="J9" s="1">
        <f>Tabel_1.5_SK[[#This Row],[Mængde]]*(Tabel_1.5_SK[[#This Row],[c. 
Den absolut størst tænkelige enhedspris
(pessimistisk)]]
-Tabel_1.5_SK[[#This Row],[a. 
Den absolut mindste enhedspris, der forekommer mulig
(Optimistisk)]])/5</f>
        <v>0</v>
      </c>
      <c r="K9" s="12">
        <f>Tabel_1.5_SK[[#This Row],[s.
spredningen
(standardafvigelsen)]]^2*0.000001</f>
        <v>0</v>
      </c>
    </row>
    <row r="10" spans="2:11" x14ac:dyDescent="0.25">
      <c r="B10" s="19" t="s">
        <v>111</v>
      </c>
      <c r="C10" s="20" t="s">
        <v>112</v>
      </c>
      <c r="D10" s="21"/>
      <c r="E10" s="20"/>
      <c r="F10" s="22"/>
      <c r="G10" s="23"/>
      <c r="H10" s="24"/>
      <c r="I10" s="11">
        <f>Tabel_1.5_SK[[#This Row],[Mængde]]*(Tabel_1.5_SK[[#This Row],[a. 
Den absolut mindste enhedspris, der forekommer mulig
(Optimistisk)]]
+3*Tabel_1.5_SK[[#This Row],[b. 
Den mest sandsynlige enhedspris]]
+Tabel_1.5_SK[[#This Row],[c. 
Den absolut størst tænkelige enhedspris
(pessimistisk)]])/5</f>
        <v>0</v>
      </c>
      <c r="J10" s="1">
        <f>Tabel_1.5_SK[[#This Row],[Mængde]]*(Tabel_1.5_SK[[#This Row],[c. 
Den absolut størst tænkelige enhedspris
(pessimistisk)]]
-Tabel_1.5_SK[[#This Row],[a. 
Den absolut mindste enhedspris, der forekommer mulig
(Optimistisk)]])/5</f>
        <v>0</v>
      </c>
      <c r="K10" s="12">
        <f>Tabel_1.5_SK[[#This Row],[s.
spredningen
(standardafvigelsen)]]^2*0.000001</f>
        <v>0</v>
      </c>
    </row>
    <row r="11" spans="2:11" x14ac:dyDescent="0.25">
      <c r="B11" s="19" t="s">
        <v>113</v>
      </c>
      <c r="C11" s="20" t="s">
        <v>114</v>
      </c>
      <c r="D11" s="21"/>
      <c r="E11" s="20"/>
      <c r="F11" s="22"/>
      <c r="G11" s="23"/>
      <c r="H11" s="24"/>
      <c r="I11" s="11">
        <f>Tabel_1.5_SK[[#This Row],[Mængde]]*(Tabel_1.5_SK[[#This Row],[a. 
Den absolut mindste enhedspris, der forekommer mulig
(Optimistisk)]]
+3*Tabel_1.5_SK[[#This Row],[b. 
Den mest sandsynlige enhedspris]]
+Tabel_1.5_SK[[#This Row],[c. 
Den absolut størst tænkelige enhedspris
(pessimistisk)]])/5</f>
        <v>0</v>
      </c>
      <c r="J11" s="1">
        <f>Tabel_1.5_SK[[#This Row],[Mængde]]*(Tabel_1.5_SK[[#This Row],[c. 
Den absolut størst tænkelige enhedspris
(pessimistisk)]]
-Tabel_1.5_SK[[#This Row],[a. 
Den absolut mindste enhedspris, der forekommer mulig
(Optimistisk)]])/5</f>
        <v>0</v>
      </c>
      <c r="K11" s="12">
        <f>Tabel_1.5_SK[[#This Row],[s.
spredningen
(standardafvigelsen)]]^2*0.000001</f>
        <v>0</v>
      </c>
    </row>
    <row r="12" spans="2:11" x14ac:dyDescent="0.25">
      <c r="B12" s="19" t="s">
        <v>115</v>
      </c>
      <c r="C12" s="20"/>
      <c r="D12" s="21"/>
      <c r="E12" s="20"/>
      <c r="F12" s="22"/>
      <c r="G12" s="23"/>
      <c r="H12" s="24"/>
      <c r="I12" s="11">
        <f>Tabel_1.5_SK[[#This Row],[Mængde]]*(Tabel_1.5_SK[[#This Row],[a. 
Den absolut mindste enhedspris, der forekommer mulig
(Optimistisk)]]
+3*Tabel_1.5_SK[[#This Row],[b. 
Den mest sandsynlige enhedspris]]
+Tabel_1.5_SK[[#This Row],[c. 
Den absolut størst tænkelige enhedspris
(pessimistisk)]])/5</f>
        <v>0</v>
      </c>
      <c r="J12" s="1">
        <f>Tabel_1.5_SK[[#This Row],[Mængde]]*(Tabel_1.5_SK[[#This Row],[c. 
Den absolut størst tænkelige enhedspris
(pessimistisk)]]
-Tabel_1.5_SK[[#This Row],[a. 
Den absolut mindste enhedspris, der forekommer mulig
(Optimistisk)]])/5</f>
        <v>0</v>
      </c>
      <c r="K12" s="12">
        <f>Tabel_1.5_SK[[#This Row],[s.
spredningen
(standardafvigelsen)]]^2*0.000001</f>
        <v>0</v>
      </c>
    </row>
    <row r="13" spans="2:11" x14ac:dyDescent="0.25">
      <c r="B13" s="19"/>
      <c r="C13" s="20"/>
      <c r="D13" s="21"/>
      <c r="E13" s="20"/>
      <c r="F13" s="22"/>
      <c r="G13" s="23"/>
      <c r="H13" s="24"/>
      <c r="I13" s="11">
        <f>Tabel_1.5_SK[[#This Row],[Mængde]]*(Tabel_1.5_SK[[#This Row],[a. 
Den absolut mindste enhedspris, der forekommer mulig
(Optimistisk)]]
+3*Tabel_1.5_SK[[#This Row],[b. 
Den mest sandsynlige enhedspris]]
+Tabel_1.5_SK[[#This Row],[c. 
Den absolut størst tænkelige enhedspris
(pessimistisk)]])/5</f>
        <v>0</v>
      </c>
      <c r="J13" s="1">
        <f>Tabel_1.5_SK[[#This Row],[Mængde]]*(Tabel_1.5_SK[[#This Row],[c. 
Den absolut størst tænkelige enhedspris
(pessimistisk)]]
-Tabel_1.5_SK[[#This Row],[a. 
Den absolut mindste enhedspris, der forekommer mulig
(Optimistisk)]])/5</f>
        <v>0</v>
      </c>
      <c r="K13" s="12">
        <f>Tabel_1.5_SK[[#This Row],[s.
spredningen
(standardafvigelsen)]]^2*0.000001</f>
        <v>0</v>
      </c>
    </row>
    <row r="14" spans="2:11" x14ac:dyDescent="0.25">
      <c r="B14" s="19"/>
      <c r="C14" s="20"/>
      <c r="D14" s="21"/>
      <c r="E14" s="20"/>
      <c r="F14" s="22"/>
      <c r="G14" s="23"/>
      <c r="H14" s="24"/>
      <c r="I14" s="11">
        <f>Tabel_1.5_SK[[#This Row],[Mængde]]*(Tabel_1.5_SK[[#This Row],[a. 
Den absolut mindste enhedspris, der forekommer mulig
(Optimistisk)]]
+3*Tabel_1.5_SK[[#This Row],[b. 
Den mest sandsynlige enhedspris]]
+Tabel_1.5_SK[[#This Row],[c. 
Den absolut størst tænkelige enhedspris
(pessimistisk)]])/5</f>
        <v>0</v>
      </c>
      <c r="J14" s="1">
        <f>Tabel_1.5_SK[[#This Row],[Mængde]]*(Tabel_1.5_SK[[#This Row],[c. 
Den absolut størst tænkelige enhedspris
(pessimistisk)]]
-Tabel_1.5_SK[[#This Row],[a. 
Den absolut mindste enhedspris, der forekommer mulig
(Optimistisk)]])/5</f>
        <v>0</v>
      </c>
      <c r="K14" s="12">
        <f>Tabel_1.5_SK[[#This Row],[s.
spredningen
(standardafvigelsen)]]^2*0.000001</f>
        <v>0</v>
      </c>
    </row>
    <row r="15" spans="2:11" x14ac:dyDescent="0.25">
      <c r="B15" s="19"/>
      <c r="C15" s="20"/>
      <c r="D15" s="21"/>
      <c r="E15" s="20"/>
      <c r="F15" s="22"/>
      <c r="G15" s="23"/>
      <c r="H15" s="24"/>
      <c r="I15" s="11">
        <f>Tabel_1.5_SK[[#This Row],[Mængde]]*(Tabel_1.5_SK[[#This Row],[a. 
Den absolut mindste enhedspris, der forekommer mulig
(Optimistisk)]]
+3*Tabel_1.5_SK[[#This Row],[b. 
Den mest sandsynlige enhedspris]]
+Tabel_1.5_SK[[#This Row],[c. 
Den absolut størst tænkelige enhedspris
(pessimistisk)]])/5</f>
        <v>0</v>
      </c>
      <c r="J15" s="1">
        <f>Tabel_1.5_SK[[#This Row],[Mængde]]*(Tabel_1.5_SK[[#This Row],[c. 
Den absolut størst tænkelige enhedspris
(pessimistisk)]]
-Tabel_1.5_SK[[#This Row],[a. 
Den absolut mindste enhedspris, der forekommer mulig
(Optimistisk)]])/5</f>
        <v>0</v>
      </c>
      <c r="K15" s="12">
        <f>Tabel_1.5_SK[[#This Row],[s.
spredningen
(standardafvigelsen)]]^2*0.000001</f>
        <v>0</v>
      </c>
    </row>
    <row r="16" spans="2:11" x14ac:dyDescent="0.25">
      <c r="B16" s="7" t="s">
        <v>78</v>
      </c>
      <c r="C16" s="8" t="s">
        <v>116</v>
      </c>
      <c r="D16" s="7"/>
      <c r="E16" s="8"/>
      <c r="F16" s="7"/>
      <c r="G16" s="13"/>
      <c r="H16" s="8"/>
      <c r="I16" s="17">
        <f>SUBTOTAL(109,Tabel_1.5_SK[m.
Den forventede værdi (middelværdi)])</f>
        <v>0</v>
      </c>
      <c r="J16" s="13"/>
      <c r="K16" s="18">
        <f>SUBTOTAL(109,Tabel_1.5_SK[v.
varians (s2x10-7)])</f>
        <v>0</v>
      </c>
    </row>
    <row r="18" spans="3:6" ht="18.75" x14ac:dyDescent="0.3">
      <c r="C18" s="35" t="str">
        <f>HYPERLINK("#Samleark!RangeBudgetStart","Til Samleark")</f>
        <v>Til Samleark</v>
      </c>
      <c r="F18" s="35" t="str">
        <f>HYPERLINK("#Vejledning!RangeVejledningStart","Til Vejledning")</f>
        <v>Til Vejledning</v>
      </c>
    </row>
  </sheetData>
  <mergeCells count="4">
    <mergeCell ref="B4:H4"/>
    <mergeCell ref="I4:K4"/>
    <mergeCell ref="F5:H5"/>
    <mergeCell ref="I5:K5"/>
  </mergeCells>
  <dataValidations count="1">
    <dataValidation type="decimal" operator="greaterThanOrEqual" allowBlank="1" showInputMessage="1" showErrorMessage="1" errorTitle="Indtast et positivt tal" error="Indtast et tal større end eller lig med 0." sqref="D7:D15 F7:H15" xr:uid="{F2384285-6075-40A6-B7D7-EDBD69284347}">
      <formula1>0</formula1>
    </dataValidation>
  </dataValidations>
  <pageMargins left="0.70866141732283472" right="0.70866141732283472" top="0.74803149606299213" bottom="0.74803149606299213" header="0.31496062992125984" footer="0.31496062992125984"/>
  <pageSetup paperSize="9" scale="37" orientation="portrait" cellComments="asDisplayed" r:id="rId1"/>
  <headerFooter>
    <oddHeader>&amp;L&amp;G</oddHeader>
    <oddFooter>&amp;RAU Bygninger
Udarbejdet af: MOSA</oddFooter>
  </headerFooter>
  <drawing r:id="rId2"/>
  <legacyDrawingHF r:id="rId3"/>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284FF-F0C5-4DA0-B6A3-2846DD22A45D}">
  <sheetPr>
    <tabColor rgb="FF92D050"/>
    <pageSetUpPr fitToPage="1"/>
  </sheetPr>
  <dimension ref="A2:L33"/>
  <sheetViews>
    <sheetView showGridLines="0" zoomScaleNormal="100" workbookViewId="0">
      <selection activeCell="C33" sqref="C33"/>
    </sheetView>
  </sheetViews>
  <sheetFormatPr defaultColWidth="0" defaultRowHeight="15" x14ac:dyDescent="0.25"/>
  <cols>
    <col min="1" max="1" width="2.7109375" customWidth="1"/>
    <col min="2" max="2" width="7.5703125" bestFit="1" customWidth="1"/>
    <col min="3" max="3" width="51" bestFit="1" customWidth="1"/>
    <col min="4" max="4" width="20.28515625" bestFit="1" customWidth="1"/>
    <col min="5" max="5" width="9.140625" customWidth="1"/>
    <col min="6" max="8" width="26.7109375" customWidth="1"/>
    <col min="9" max="11" width="20.7109375" customWidth="1"/>
    <col min="12" max="12" width="2.7109375" customWidth="1"/>
    <col min="13" max="16384" width="9.140625" hidden="1"/>
  </cols>
  <sheetData>
    <row r="2" spans="2:11" ht="20.25" thickBot="1" x14ac:dyDescent="0.35">
      <c r="B2" s="31" t="s">
        <v>80</v>
      </c>
      <c r="C2" s="31" t="s">
        <v>229</v>
      </c>
      <c r="D2" s="31"/>
      <c r="E2" s="31"/>
      <c r="F2" s="31"/>
      <c r="G2" s="31"/>
      <c r="H2" s="31"/>
      <c r="I2" s="31"/>
      <c r="J2" s="31"/>
      <c r="K2" s="31"/>
    </row>
    <row r="3" spans="2:11" ht="15.75" thickTop="1" x14ac:dyDescent="0.25"/>
    <row r="4" spans="2:11" x14ac:dyDescent="0.25">
      <c r="B4" s="33" t="s">
        <v>57</v>
      </c>
      <c r="D4" s="32">
        <f>Tabel_1.6_Molio[[#Totals],[Beregnet budget]]+Tabel_1.6_SK[[#Totals],[m.
Den forventede værdi (middelværdi)]]</f>
        <v>0</v>
      </c>
      <c r="F4" t="s">
        <v>58</v>
      </c>
    </row>
    <row r="6" spans="2:11" ht="20.25" thickBot="1" x14ac:dyDescent="0.35">
      <c r="B6" s="31" t="s">
        <v>256</v>
      </c>
      <c r="C6" s="31" t="s">
        <v>230</v>
      </c>
      <c r="D6" s="31"/>
      <c r="E6" s="31"/>
      <c r="F6" s="31"/>
      <c r="G6" s="31"/>
      <c r="H6" s="31"/>
      <c r="I6" s="31"/>
      <c r="J6" s="31"/>
      <c r="K6" s="31"/>
    </row>
    <row r="7" spans="2:11" ht="15.75" thickTop="1" x14ac:dyDescent="0.25"/>
    <row r="8" spans="2:11" x14ac:dyDescent="0.25">
      <c r="D8" s="25" t="s">
        <v>60</v>
      </c>
      <c r="E8" s="119" t="s">
        <v>51</v>
      </c>
      <c r="F8" s="120"/>
      <c r="G8" s="120"/>
      <c r="H8" s="121"/>
    </row>
    <row r="9" spans="2:11" x14ac:dyDescent="0.25">
      <c r="C9" t="s">
        <v>0</v>
      </c>
      <c r="D9" t="s">
        <v>1</v>
      </c>
      <c r="E9" t="s">
        <v>2</v>
      </c>
      <c r="F9" t="s">
        <v>25</v>
      </c>
      <c r="G9" t="s">
        <v>43</v>
      </c>
      <c r="H9" t="s">
        <v>44</v>
      </c>
    </row>
    <row r="10" spans="2:11" x14ac:dyDescent="0.25">
      <c r="C10" t="s">
        <v>124</v>
      </c>
      <c r="D10" s="30"/>
      <c r="E10" t="s">
        <v>125</v>
      </c>
      <c r="F10" s="1">
        <v>1100</v>
      </c>
      <c r="G10" s="1">
        <f>Tabel_1.6_Molio[[#This Row],[Mængde]]*Tabel_1.6_Molio[[#This Row],[Pris pr. enhed]]</f>
        <v>0</v>
      </c>
      <c r="H10" t="s">
        <v>126</v>
      </c>
    </row>
    <row r="11" spans="2:11" x14ac:dyDescent="0.25">
      <c r="C11" t="s">
        <v>123</v>
      </c>
      <c r="D11" s="30"/>
      <c r="E11" t="s">
        <v>125</v>
      </c>
      <c r="F11" s="1">
        <v>2400</v>
      </c>
      <c r="G11" s="1">
        <f>Tabel_1.6_Molio[[#This Row],[Mængde]]*Tabel_1.6_Molio[[#This Row],[Pris pr. enhed]]</f>
        <v>0</v>
      </c>
      <c r="H11" t="s">
        <v>127</v>
      </c>
    </row>
    <row r="12" spans="2:11" x14ac:dyDescent="0.25">
      <c r="C12" t="s">
        <v>122</v>
      </c>
      <c r="D12" s="30"/>
      <c r="E12" t="s">
        <v>125</v>
      </c>
      <c r="F12" s="1">
        <v>500</v>
      </c>
      <c r="G12" s="1">
        <f>Tabel_1.6_Molio[[#This Row],[Mængde]]*Tabel_1.6_Molio[[#This Row],[Pris pr. enhed]]</f>
        <v>0</v>
      </c>
      <c r="H12" t="s">
        <v>128</v>
      </c>
    </row>
    <row r="13" spans="2:11" x14ac:dyDescent="0.25">
      <c r="C13" t="s">
        <v>121</v>
      </c>
      <c r="G13" s="1">
        <f>SUBTOTAL(109,Tabel_1.6_Molio[Beregnet budget])</f>
        <v>0</v>
      </c>
    </row>
    <row r="15" spans="2:11" ht="18.75" x14ac:dyDescent="0.3">
      <c r="C15" s="35" t="str">
        <f>HYPERLINK("#Samleark!RangeBudgetStart","Til Samleark")</f>
        <v>Til Samleark</v>
      </c>
      <c r="F15" s="35" t="str">
        <f>HYPERLINK("#Vejledning!RangeVejledningStart","Til Vejledning")</f>
        <v>Til Vejledning</v>
      </c>
    </row>
    <row r="17" spans="2:11" ht="20.25" thickBot="1" x14ac:dyDescent="0.35">
      <c r="B17" s="31" t="s">
        <v>257</v>
      </c>
      <c r="C17" s="31" t="s">
        <v>231</v>
      </c>
      <c r="D17" s="31"/>
      <c r="E17" s="31"/>
      <c r="F17" s="31"/>
      <c r="G17" s="31"/>
      <c r="H17" s="31"/>
      <c r="I17" s="31"/>
      <c r="J17" s="31"/>
      <c r="K17" s="31"/>
    </row>
    <row r="18" spans="2:11" ht="15.75" thickTop="1" x14ac:dyDescent="0.25"/>
    <row r="19" spans="2:11" x14ac:dyDescent="0.25">
      <c r="B19" s="114" t="s">
        <v>6</v>
      </c>
      <c r="C19" s="115"/>
      <c r="D19" s="115"/>
      <c r="E19" s="115"/>
      <c r="F19" s="115"/>
      <c r="G19" s="115"/>
      <c r="H19" s="115"/>
      <c r="I19" s="116" t="s">
        <v>7</v>
      </c>
      <c r="J19" s="117"/>
      <c r="K19" s="118"/>
    </row>
    <row r="20" spans="2:11" x14ac:dyDescent="0.25">
      <c r="B20" s="3"/>
      <c r="C20" s="4"/>
      <c r="D20" s="3"/>
      <c r="E20" s="26"/>
      <c r="F20" s="109" t="s">
        <v>30</v>
      </c>
      <c r="G20" s="110"/>
      <c r="H20" s="111"/>
      <c r="I20" s="112" t="s">
        <v>31</v>
      </c>
      <c r="J20" s="112"/>
      <c r="K20" s="113"/>
    </row>
    <row r="21" spans="2:11" ht="75" x14ac:dyDescent="0.25">
      <c r="B21" s="5" t="s">
        <v>268</v>
      </c>
      <c r="C21" s="6" t="s">
        <v>0</v>
      </c>
      <c r="D21" s="5" t="s">
        <v>1</v>
      </c>
      <c r="E21" s="27" t="s">
        <v>2</v>
      </c>
      <c r="F21" s="9" t="s">
        <v>27</v>
      </c>
      <c r="G21" s="2" t="s">
        <v>28</v>
      </c>
      <c r="H21" s="10" t="s">
        <v>29</v>
      </c>
      <c r="I21" s="14" t="s">
        <v>3</v>
      </c>
      <c r="J21" s="15" t="s">
        <v>4</v>
      </c>
      <c r="K21" s="16" t="s">
        <v>5</v>
      </c>
    </row>
    <row r="22" spans="2:11" x14ac:dyDescent="0.25">
      <c r="B22" s="19" t="s">
        <v>117</v>
      </c>
      <c r="C22" s="20"/>
      <c r="D22" s="21"/>
      <c r="E22" s="28"/>
      <c r="F22" s="22"/>
      <c r="G22" s="23"/>
      <c r="H22" s="24"/>
      <c r="I22" s="11">
        <f>Tabel_1.6_SK[[#This Row],[Mængde]]*(Tabel_1.6_SK[[#This Row],[a. 
Den absolut mindste enhedspris, der forekommer mulig
(Optimistisk)]]
+3*Tabel_1.6_SK[[#This Row],[b. 
Den mest sandsynlige enhedspris]]
+Tabel_1.6_SK[[#This Row],[c. 
Den absolut størst tænkelige enhedspris
(pessimistisk)]])/5</f>
        <v>0</v>
      </c>
      <c r="J22" s="1">
        <f>Tabel_1.6_SK[[#This Row],[Mængde]]*(Tabel_1.6_SK[[#This Row],[c. 
Den absolut størst tænkelige enhedspris
(pessimistisk)]]
-Tabel_1.6_SK[[#This Row],[a. 
Den absolut mindste enhedspris, der forekommer mulig
(Optimistisk)]])/5</f>
        <v>0</v>
      </c>
      <c r="K22" s="12">
        <f>Tabel_1.6_SK[[#This Row],[s.
spredningen
(standardafvigelsen)]]^2*0.000001</f>
        <v>0</v>
      </c>
    </row>
    <row r="23" spans="2:11" x14ac:dyDescent="0.25">
      <c r="B23" s="19" t="s">
        <v>118</v>
      </c>
      <c r="C23" s="20"/>
      <c r="D23" s="21"/>
      <c r="E23" s="28"/>
      <c r="F23" s="22"/>
      <c r="G23" s="23"/>
      <c r="H23" s="24"/>
      <c r="I23" s="11">
        <f>Tabel_1.6_SK[[#This Row],[Mængde]]*(Tabel_1.6_SK[[#This Row],[a. 
Den absolut mindste enhedspris, der forekommer mulig
(Optimistisk)]]
+3*Tabel_1.6_SK[[#This Row],[b. 
Den mest sandsynlige enhedspris]]
+Tabel_1.6_SK[[#This Row],[c. 
Den absolut størst tænkelige enhedspris
(pessimistisk)]])/5</f>
        <v>0</v>
      </c>
      <c r="J23" s="1">
        <f>Tabel_1.6_SK[[#This Row],[Mængde]]*(Tabel_1.6_SK[[#This Row],[c. 
Den absolut størst tænkelige enhedspris
(pessimistisk)]]
-Tabel_1.6_SK[[#This Row],[a. 
Den absolut mindste enhedspris, der forekommer mulig
(Optimistisk)]])/5</f>
        <v>0</v>
      </c>
      <c r="K23" s="12">
        <f>Tabel_1.6_SK[[#This Row],[s.
spredningen
(standardafvigelsen)]]^2*0.000001</f>
        <v>0</v>
      </c>
    </row>
    <row r="24" spans="2:11" x14ac:dyDescent="0.25">
      <c r="B24" s="19" t="s">
        <v>119</v>
      </c>
      <c r="C24" s="20"/>
      <c r="D24" s="21"/>
      <c r="E24" s="28"/>
      <c r="F24" s="22"/>
      <c r="G24" s="23"/>
      <c r="H24" s="24"/>
      <c r="I24" s="11">
        <f>Tabel_1.6_SK[[#This Row],[Mængde]]*(Tabel_1.6_SK[[#This Row],[a. 
Den absolut mindste enhedspris, der forekommer mulig
(Optimistisk)]]
+3*Tabel_1.6_SK[[#This Row],[b. 
Den mest sandsynlige enhedspris]]
+Tabel_1.6_SK[[#This Row],[c. 
Den absolut størst tænkelige enhedspris
(pessimistisk)]])/5</f>
        <v>0</v>
      </c>
      <c r="J24" s="1">
        <f>Tabel_1.6_SK[[#This Row],[Mængde]]*(Tabel_1.6_SK[[#This Row],[c. 
Den absolut størst tænkelige enhedspris
(pessimistisk)]]
-Tabel_1.6_SK[[#This Row],[a. 
Den absolut mindste enhedspris, der forekommer mulig
(Optimistisk)]])/5</f>
        <v>0</v>
      </c>
      <c r="K24" s="12">
        <f>Tabel_1.6_SK[[#This Row],[s.
spredningen
(standardafvigelsen)]]^2*0.000001</f>
        <v>0</v>
      </c>
    </row>
    <row r="25" spans="2:11" x14ac:dyDescent="0.25">
      <c r="B25" s="19"/>
      <c r="C25" s="20"/>
      <c r="D25" s="21"/>
      <c r="E25" s="28"/>
      <c r="F25" s="22"/>
      <c r="G25" s="23"/>
      <c r="H25" s="24"/>
      <c r="I25" s="11">
        <f>Tabel_1.6_SK[[#This Row],[Mængde]]*(Tabel_1.6_SK[[#This Row],[a. 
Den absolut mindste enhedspris, der forekommer mulig
(Optimistisk)]]
+3*Tabel_1.6_SK[[#This Row],[b. 
Den mest sandsynlige enhedspris]]
+Tabel_1.6_SK[[#This Row],[c. 
Den absolut størst tænkelige enhedspris
(pessimistisk)]])/5</f>
        <v>0</v>
      </c>
      <c r="J25" s="1">
        <f>Tabel_1.6_SK[[#This Row],[Mængde]]*(Tabel_1.6_SK[[#This Row],[c. 
Den absolut størst tænkelige enhedspris
(pessimistisk)]]
-Tabel_1.6_SK[[#This Row],[a. 
Den absolut mindste enhedspris, der forekommer mulig
(Optimistisk)]])/5</f>
        <v>0</v>
      </c>
      <c r="K25" s="12">
        <f>Tabel_1.6_SK[[#This Row],[s.
spredningen
(standardafvigelsen)]]^2*0.000001</f>
        <v>0</v>
      </c>
    </row>
    <row r="26" spans="2:11" x14ac:dyDescent="0.25">
      <c r="B26" s="19"/>
      <c r="C26" s="20"/>
      <c r="D26" s="21"/>
      <c r="E26" s="28"/>
      <c r="F26" s="22"/>
      <c r="G26" s="23"/>
      <c r="H26" s="24"/>
      <c r="I26" s="11">
        <f>Tabel_1.6_SK[[#This Row],[Mængde]]*(Tabel_1.6_SK[[#This Row],[a. 
Den absolut mindste enhedspris, der forekommer mulig
(Optimistisk)]]
+3*Tabel_1.6_SK[[#This Row],[b. 
Den mest sandsynlige enhedspris]]
+Tabel_1.6_SK[[#This Row],[c. 
Den absolut størst tænkelige enhedspris
(pessimistisk)]])/5</f>
        <v>0</v>
      </c>
      <c r="J26" s="1">
        <f>Tabel_1.6_SK[[#This Row],[Mængde]]*(Tabel_1.6_SK[[#This Row],[c. 
Den absolut størst tænkelige enhedspris
(pessimistisk)]]
-Tabel_1.6_SK[[#This Row],[a. 
Den absolut mindste enhedspris, der forekommer mulig
(Optimistisk)]])/5</f>
        <v>0</v>
      </c>
      <c r="K26" s="12">
        <f>Tabel_1.6_SK[[#This Row],[s.
spredningen
(standardafvigelsen)]]^2*0.000001</f>
        <v>0</v>
      </c>
    </row>
    <row r="27" spans="2:11" x14ac:dyDescent="0.25">
      <c r="B27" s="19"/>
      <c r="C27" s="20"/>
      <c r="D27" s="21"/>
      <c r="E27" s="28"/>
      <c r="F27" s="22"/>
      <c r="G27" s="23"/>
      <c r="H27" s="24"/>
      <c r="I27" s="11">
        <f>Tabel_1.6_SK[[#This Row],[Mængde]]*(Tabel_1.6_SK[[#This Row],[a. 
Den absolut mindste enhedspris, der forekommer mulig
(Optimistisk)]]
+3*Tabel_1.6_SK[[#This Row],[b. 
Den mest sandsynlige enhedspris]]
+Tabel_1.6_SK[[#This Row],[c. 
Den absolut størst tænkelige enhedspris
(pessimistisk)]])/5</f>
        <v>0</v>
      </c>
      <c r="J27" s="1">
        <f>Tabel_1.6_SK[[#This Row],[Mængde]]*(Tabel_1.6_SK[[#This Row],[c. 
Den absolut størst tænkelige enhedspris
(pessimistisk)]]
-Tabel_1.6_SK[[#This Row],[a. 
Den absolut mindste enhedspris, der forekommer mulig
(Optimistisk)]])/5</f>
        <v>0</v>
      </c>
      <c r="K27" s="12">
        <f>Tabel_1.6_SK[[#This Row],[s.
spredningen
(standardafvigelsen)]]^2*0.000001</f>
        <v>0</v>
      </c>
    </row>
    <row r="28" spans="2:11" x14ac:dyDescent="0.25">
      <c r="B28" s="19"/>
      <c r="C28" s="20"/>
      <c r="D28" s="21"/>
      <c r="E28" s="28"/>
      <c r="F28" s="22"/>
      <c r="G28" s="23"/>
      <c r="H28" s="24"/>
      <c r="I28" s="11">
        <f>Tabel_1.6_SK[[#This Row],[Mængde]]*(Tabel_1.6_SK[[#This Row],[a. 
Den absolut mindste enhedspris, der forekommer mulig
(Optimistisk)]]
+3*Tabel_1.6_SK[[#This Row],[b. 
Den mest sandsynlige enhedspris]]
+Tabel_1.6_SK[[#This Row],[c. 
Den absolut størst tænkelige enhedspris
(pessimistisk)]])/5</f>
        <v>0</v>
      </c>
      <c r="J28" s="1">
        <f>Tabel_1.6_SK[[#This Row],[Mængde]]*(Tabel_1.6_SK[[#This Row],[c. 
Den absolut størst tænkelige enhedspris
(pessimistisk)]]
-Tabel_1.6_SK[[#This Row],[a. 
Den absolut mindste enhedspris, der forekommer mulig
(Optimistisk)]])/5</f>
        <v>0</v>
      </c>
      <c r="K28" s="12">
        <f>Tabel_1.6_SK[[#This Row],[s.
spredningen
(standardafvigelsen)]]^2*0.000001</f>
        <v>0</v>
      </c>
    </row>
    <row r="29" spans="2:11" x14ac:dyDescent="0.25">
      <c r="B29" s="19"/>
      <c r="C29" s="20"/>
      <c r="D29" s="21"/>
      <c r="E29" s="28"/>
      <c r="F29" s="22"/>
      <c r="G29" s="23"/>
      <c r="H29" s="24"/>
      <c r="I29" s="11">
        <f>Tabel_1.6_SK[[#This Row],[Mængde]]*(Tabel_1.6_SK[[#This Row],[a. 
Den absolut mindste enhedspris, der forekommer mulig
(Optimistisk)]]
+3*Tabel_1.6_SK[[#This Row],[b. 
Den mest sandsynlige enhedspris]]
+Tabel_1.6_SK[[#This Row],[c. 
Den absolut størst tænkelige enhedspris
(pessimistisk)]])/5</f>
        <v>0</v>
      </c>
      <c r="J29" s="1">
        <f>Tabel_1.6_SK[[#This Row],[Mængde]]*(Tabel_1.6_SK[[#This Row],[c. 
Den absolut størst tænkelige enhedspris
(pessimistisk)]]
-Tabel_1.6_SK[[#This Row],[a. 
Den absolut mindste enhedspris, der forekommer mulig
(Optimistisk)]])/5</f>
        <v>0</v>
      </c>
      <c r="K29" s="12">
        <f>Tabel_1.6_SK[[#This Row],[s.
spredningen
(standardafvigelsen)]]^2*0.000001</f>
        <v>0</v>
      </c>
    </row>
    <row r="30" spans="2:11" x14ac:dyDescent="0.25">
      <c r="B30" s="19"/>
      <c r="C30" s="20"/>
      <c r="D30" s="21"/>
      <c r="E30" s="28"/>
      <c r="F30" s="22"/>
      <c r="G30" s="23"/>
      <c r="H30" s="24"/>
      <c r="I30" s="11">
        <f>Tabel_1.6_SK[[#This Row],[Mængde]]*(Tabel_1.6_SK[[#This Row],[a. 
Den absolut mindste enhedspris, der forekommer mulig
(Optimistisk)]]
+3*Tabel_1.6_SK[[#This Row],[b. 
Den mest sandsynlige enhedspris]]
+Tabel_1.6_SK[[#This Row],[c. 
Den absolut størst tænkelige enhedspris
(pessimistisk)]])/5</f>
        <v>0</v>
      </c>
      <c r="J30" s="1">
        <f>Tabel_1.6_SK[[#This Row],[Mængde]]*(Tabel_1.6_SK[[#This Row],[c. 
Den absolut størst tænkelige enhedspris
(pessimistisk)]]
-Tabel_1.6_SK[[#This Row],[a. 
Den absolut mindste enhedspris, der forekommer mulig
(Optimistisk)]])/5</f>
        <v>0</v>
      </c>
      <c r="K30" s="12">
        <f>Tabel_1.6_SK[[#This Row],[s.
spredningen
(standardafvigelsen)]]^2*0.000001</f>
        <v>0</v>
      </c>
    </row>
    <row r="31" spans="2:11" x14ac:dyDescent="0.25">
      <c r="B31" s="7" t="s">
        <v>80</v>
      </c>
      <c r="C31" s="8" t="s">
        <v>120</v>
      </c>
      <c r="D31" s="7"/>
      <c r="E31" s="29"/>
      <c r="F31" s="7"/>
      <c r="G31" s="13"/>
      <c r="H31" s="8"/>
      <c r="I31" s="17">
        <f>SUBTOTAL(109,Tabel_1.6_SK[m.
Den forventede værdi (middelværdi)])</f>
        <v>0</v>
      </c>
      <c r="J31" s="13"/>
      <c r="K31" s="18">
        <f>SUBTOTAL(109,Tabel_1.6_SK[v.
varians (s2x10-7)])</f>
        <v>0</v>
      </c>
    </row>
    <row r="33" spans="3:6" ht="18.75" x14ac:dyDescent="0.3">
      <c r="C33" s="35" t="str">
        <f>HYPERLINK("#Samleark!RangeBudgetStart","Til Samleark")</f>
        <v>Til Samleark</v>
      </c>
      <c r="F33" s="35" t="str">
        <f>HYPERLINK("#Vejledning!RangeVejledningStart","Til Vejledning")</f>
        <v>Til Vejledning</v>
      </c>
    </row>
  </sheetData>
  <mergeCells count="5">
    <mergeCell ref="F20:H20"/>
    <mergeCell ref="I20:K20"/>
    <mergeCell ref="E8:H8"/>
    <mergeCell ref="B19:H19"/>
    <mergeCell ref="I19:K19"/>
  </mergeCells>
  <pageMargins left="0.70866141732283472" right="0.70866141732283472" top="0.74803149606299213" bottom="0.74803149606299213" header="0.31496062992125984" footer="0.31496062992125984"/>
  <pageSetup paperSize="9" scale="37" orientation="portrait" cellComments="asDisplayed" r:id="rId1"/>
  <headerFooter>
    <oddHeader>&amp;L&amp;G</oddHeader>
    <oddFooter>&amp;RAU Bygninger
Udarbejdet af: MOSA</oddFooter>
  </headerFooter>
  <legacyDrawingHF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D a t a M a s h u p   s q m i d = " 3 7 8 1 a 0 2 a - 4 4 1 f - 4 7 4 5 - 9 4 0 f - a 0 5 e e 7 e c 5 2 6 d "   x m l n s = " h t t p : / / s c h e m a s . m i c r o s o f t . c o m / D a t a M a s h u p " > A A A A A M 0 H A A B Q S w M E F A A C A A g A D E d q W p f u l 3 W l A A A A 9 g A A A B I A H A B D b 2 5 m a W c v U G F j a 2 F n Z S 5 4 b W w g o h g A K K A U A A A A A A A A A A A A A A A A A A A A A A A A A A A A h Y 8 x D o I w G I W v Q r r T F s T E k J 8 y 6 K Y k J i b G t S m 1 N E I x t F j u 5 u C R v I I Y R d 0 c 3 / e + 4 b 3 7 9 Q b 5 0 N T B R X Z W t y Z D E a Y o k E a 0 p T Y q Q 7 0 7 h g u U M 9 h y c e J K B q N s b D r Y M k O V c + e U E O 8 9 9 j P c d o r E l E b k U G x 2 o p I N R x 9 Z / 5 d D b a z j R k j E Y P 8 a w 2 I c J R Q n d I 4 p k A l C o c 1 X i M e 9 z / Y H w r K v X d 9 J V v J w t Q Y y R S D v D + w B U E s D B B Q A A g A I A A x H a 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R 2 p a 8 P f U t c Y E A A D V F g A A E w A c A E Z v c m 1 1 b G F z L 1 N l Y 3 R p b 2 4 x L m 0 g o h g A K K A U A A A A A A A A A A A A A A A A A A A A A A A A A A A A 7 V f B b u M 2 E L 0 H y D 8 Q C l D I g G s 0 Q N F L u w U S O 2 n T T b L Z O N h F Y R g B b Y 0 d r i n S k C h v D N e / k 2 / o P T / W I S V b I k 0 l s T e 7 v W w O j k 1 S b 2 b e P M 6 M U h g q J g X p 5 v 8 P f 9 3 f 2 9 9 L 7 2 g C E T k I O l R R 0 n 0 b k D e E g 9 r f I / j X l V k y B F w 5 u R 8 C b 7 W z J A G h P s p k M p B y E j a a + b G D 4 J R x B R r n W n 5 O N c Q N H X B o d Y G j L b 0 W 5 l B N A n R 4 R 2 7 g X r V O R J R + Z O o u 7 F 3 S G P p N E q D 1 R o l 5 c j + l I k L M t h Q K z Z a w + Y 7 5 3 p Y 8 i 0 X o e o B g q 6 e a Z B E c Q z p J 2 A x 4 C n r r 4 v F B j C P z N W 4 d h H z U 6 I A g I 5 n M 8 A G I g M w e H 5 K I k T B m U Q Q 8 / 9 U I l q 8 I V U P d o Z c 7 D x c F k b 3 C f p / 8 9 j s R G e c E j 9 m r Q V D a u o Z Y z g y K Z q 2 S q H y j W H b Z P A y a i 3 W g F c / b d 1 S M 8 c z N f A o l 1 E 1 C R Y o E x D m a 3 t S I r u n m w u V S 4 U m i U B m G 5 2 3 Y L J 4 V W T y A Z F n x s D v l T B U m y W B O O s B Z z D C y C s 3 6 y F p F V k i Y U 6 1 M / G 8 O 4 W P 5 a a 3 e 4 / k a K w x u 8 c j 7 T C r o q j l C t t N Z Q 4 e w A r n K x E Q Z s Y C S N o U O K 4 f 1 G a k P p V l Y s m B l E p n 8 e T J t t k r g D R c Q b + 2 x q / Y 8 g N 3 F f g 0 C G f W 6 p T e q X r k R a M F s J w r 0 n j / + O w h Q E f t 7 T N T 5 4 C m D F 5 I z + X 9 W w t y B b 1 0 M j / G Z s Q B F B l k 0 B v V c w d s 4 / r 2 o P V P U X M a + F 6 5 v X r i e E O 0 X F q f N 5 O 5 Q g N A g 8 N s u j T n Q Z L J N B V q Y 4 v E m s B G C / r J X X K / + L h o v i t W i p N Z W d J e O U z k d 0 5 l P 7 P U X 4 d 0 M E r N L R l R A X r K 1 I j Y g D H / 2 N d E b f + r M T w u P z o T 6 5 e e W 9 n f p U e g x p 2 J S X 4 0 3 r o 4 p Q U I q c s 5 S 1 T p L T + K p m o f m R w 5 5 Q d X w j o n x m Y I 4 D a 9 h i G J o n T L g 0 Q f K M + T s 1 l w i h N K 1 a 9 l o O M n f c M v T g F K d P u X v Q H k I b R k P m I B w U U 7 u T b t 9 V b i 4 g E R H + D 6 D h E G F h 0 t I s Y P + J Z l Y d 6 V V o p F m W 0 n W l q u y J t E g b 5 m I W u c w U u 8 y v N + e 5 u U 8 9 W Q P c 3 z 2 2 a z V k d G I f b x V d 3 S b 1 l 0 f S q G b s P c i q 3 0 E D y 7 h U 7 X D 7 9 b G T B H d N t C j 6 R R M E J r c e e D T 1 E Z n W 7 8 h r i K u 4 k W m i 2 e p k n G J h q v r Z D o W M Z l n n R V n X U X j C K F 7 Z 5 3 + 4 q d l p Q b s 1 h c s b 5 A e Y + l F n S E v 1 s 5 1 d Q 3 7 3 p o r g v b e 1 + o 1 2 j L f q w J s V 9 r 6 A l o t j V t q e z P n + T i W E + N M Y 5 X F 6 j D 2 v B Q 2 Z t N 1 B o y 1 4 C R V L K Z W p 3 k d H X w V B X R Y D C J l U k C y X f J f G s c 6 / 1 b L K 4 O x Z e G E V q + S d a i v N / 1 Y l o 1 / g 8 q a r z U / W + p c n 5 p P T A 5 1 2 b N N V X O 3 K j x f M G U V C N 4 p 6 4 r N c L J e m S 6 D N O v r f m s G i w 5 + M D F c r f Z O g a s + T h G B / q J j + 2 D i D H Z 8 T X E 8 M d N c I j / B R A k 6 E x t T 1 5 F I Z z T h b E y u z r 0 D n 0 h a 9 t i l N / 4 + P v 9 x R D 2 z 3 j X M m L 4 h K T I l V 7 v 4 H e x d n O 5 i z w h 4 W r z n K 5 I q m i g v R u U M z / x H j r D 7 6 M r F H x / G u H k F S L N Q d A x l A H / I a I J N S h E 6 s r z Y q t G 5 7 2 F l m + t V K O + T H 0 j w T 4 C f v Y O S u M q q w 0 q / + X V 6 o i U C N + + V V F e T u 5 F P T w p r s u Z P l J s b K x H P 1 u L / A F B L A Q I t A B Q A A g A I A A x H a l q X 7 p d 1 p Q A A A P Y A A A A S A A A A A A A A A A A A A A A A A A A A A A B D b 2 5 m a W c v U G F j a 2 F n Z S 5 4 b W x Q S w E C L Q A U A A I A C A A M R 2 p a D 8 r p q 6 Q A A A D p A A A A E w A A A A A A A A A A A A A A A A D x A A A A W 0 N v b n R l b n R f V H l w Z X N d L n h t b F B L A Q I t A B Q A A g A I A A x H a l r w 9 9 S 1 x g Q A A N U W A A A T A A A A A A A A A A A A A A A A A O I B A A B G b 3 J t d W x h c y 9 T Z W N 0 a W 9 u M S 5 t U E s F B g A A A A A D A A M A w g A A A P U G 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u 5 I A A A A A A A A z E g 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R h d G E l M j B T S z w v S X R l b V B h d G g + P C 9 J d G V t T G 9 j Y X R p b 2 4 + P F N 0 Y W J s Z U V u d H J p Z X M + P E V u d H J 5 I F R 5 c G U 9 I k l z U H J p d m F 0 Z S I g V m F s d W U 9 I m w w I i A v P j x F b n R y e S B U e X B l P S J R d W V y e U l E I i B W Y W x 1 Z T 0 i c 2 Z i N D g 2 M D V j L W F k Y T k t N D N k O S 1 i Y z J i L T A 4 N D A 0 Y z d m Z j A y Y i 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A z L T E w V D A 3 O j U 2 O j I z L j k y O D U 4 O T V a I i A v P j x F b n R y e S B U e X B l P S J G a W x s U 3 R h d H V z I i B W Y W x 1 Z T 0 i c 0 N v b X B s Z X R l I i A v P j w v U 3 R h Y m x l R W 5 0 c m l l c z 4 8 L 0 l 0 Z W 0 + P E l 0 Z W 0 + P E l 0 Z W 1 M b 2 N h d G l v b j 4 8 S X R l b V R 5 c G U + R m 9 y b X V s Y T w v S X R l b V R 5 c G U + P E l 0 Z W 1 Q Y X R o P l N l Y 3 R p b 2 4 x L 0 R h d G E l M j B T S y 9 T b 3 V y Y 2 U 8 L 0 l 0 Z W 1 Q Y X R o P j w v S X R l b U x v Y 2 F 0 a W 9 u P j x T d G F i b G V F b n R y a W V z I C 8 + P C 9 J d G V t P j x J d G V t P j x J d G V t T G 9 j Y X R p b 2 4 + P E l 0 Z W 1 U e X B l P k Z v c m 1 1 b G E 8 L 0 l 0 Z W 1 U e X B l P j x J d G V t U G F 0 a D 5 T Z W N 0 a W 9 u M S 9 E Y X R h J T I w U 0 s v R m l s d G V y Z W Q l M j B S b 3 d z P C 9 J d G V t U G F 0 a D 4 8 L 0 l 0 Z W 1 M b 2 N h d G l v b j 4 8 U 3 R h Y m x l R W 5 0 c m l l c y A v P j w v S X R l b T 4 8 S X R l b T 4 8 S X R l b U x v Y 2 F 0 a W 9 u P j x J d G V t V H l w Z T 5 G b 3 J t d W x h P C 9 J d G V t V H l w Z T 4 8 S X R l b V B h d G g + U 2 V j d G l v b j E v R G F 0 Y S U y M F N L L 0 V 4 c G F u Z G V k J T I w Q 2 9 u d G V u d D w v S X R l b V B h d G g + P C 9 J d G V t T G 9 j Y X R p b 2 4 + P F N 0 Y W J s Z U V u d H J p Z X M g L z 4 8 L 0 l 0 Z W 0 + P E l 0 Z W 0 + P E l 0 Z W 1 M b 2 N h d G l v b j 4 8 S X R l b V R 5 c G U + R m 9 y b X V s Y T w v S X R l b V R 5 c G U + P E l 0 Z W 1 Q Y X R o P l N l Y 3 R p b 2 4 x L 0 R h d G E l M j B T S y 9 G a W x 0 Z X J l Z C U y M F J v d 3 M x P C 9 J d G V t U G F 0 a D 4 8 L 0 l 0 Z W 1 M b 2 N h d G l v b j 4 8 U 3 R h Y m x l R W 5 0 c m l l c y A v P j w v S X R l b T 4 8 S X R l b T 4 8 S X R l b U x v Y 2 F 0 a W 9 u P j x J d G V t V H l w Z T 5 G b 3 J t d W x h P C 9 J d G V t V H l w Z T 4 8 S X R l b V B h d G g + U 2 V j d G l v b j E v R G F 0 Y S U y M F N L L 1 J l b W 9 2 Z W Q l M j B D b 2 x 1 b W 5 z P C 9 J d G V t U G F 0 a D 4 8 L 0 l 0 Z W 1 M b 2 N h d G l v b j 4 8 U 3 R h Y m x l R W 5 0 c m l l c y A v P j w v S X R l b T 4 8 S X R l b T 4 8 S X R l b U x v Y 2 F 0 a W 9 u P j x J d G V t V H l w Z T 5 G b 3 J t d W x h P C 9 J d G V t V H l w Z T 4 8 S X R l b V B h d G g + U 2 V j d G l v b j E v R G F 0 Y S U y M F N L L 0 N o Y W 5 n Z W Q l M j B U e X B l P C 9 J d G V t U G F 0 a D 4 8 L 0 l 0 Z W 1 M b 2 N h d G l v b j 4 8 U 3 R h Y m x l R W 5 0 c m l l c y A v P j w v S X R l b T 4 8 S X R l b T 4 8 S X R l b U x v Y 2 F 0 a W 9 u P j x J d G V t V H l w Z T 5 G b 3 J t d W x h P C 9 J d G V t V H l w Z T 4 8 S X R l b V B h d G g + U 2 V j d G l v b j E v R G F 0 Y S U y M F N L L 1 N w b G l 0 J T I w Q 2 9 s d W 1 u J T I w Y n k l M j B E Z W x p b W l 0 Z X I 8 L 0 l 0 Z W 1 Q Y X R o P j w v S X R l b U x v Y 2 F 0 a W 9 u P j x T d G F i b G V F b n R y a W V z I C 8 + P C 9 J d G V t P j x J d G V t P j x J d G V t T G 9 j Y X R p b 2 4 + P E l 0 Z W 1 U e X B l P k Z v c m 1 1 b G E 8 L 0 l 0 Z W 1 U e X B l P j x J d G V t U G F 0 a D 5 T Z W N 0 a W 9 u M S 9 E Y X R h J T I w U 0 s v U m V t b 3 Z l Z C U y M E N v b H V t b n M x P C 9 J d G V t U G F 0 a D 4 8 L 0 l 0 Z W 1 M b 2 N h d G l v b j 4 8 U 3 R h Y m x l R W 5 0 c m l l c y A v P j w v S X R l b T 4 8 S X R l b T 4 8 S X R l b U x v Y 2 F 0 a W 9 u P j x J d G V t V H l w Z T 5 G b 3 J t d W x h P C 9 J d G V t V H l w Z T 4 8 S X R l b V B h d G g + U 2 V j d G l v b j E v R G F 0 Y S U y M F N L L 1 J l b 3 J k Z X J l Z C U y M E N v b H V t b n M 8 L 0 l 0 Z W 1 Q Y X R o P j w v S X R l b U x v Y 2 F 0 a W 9 u P j x T d G F i b G V F b n R y a W V z I C 8 + P C 9 J d G V t P j x J d G V t P j x J d G V t T G 9 j Y X R p b 2 4 + P E l 0 Z W 1 U e X B l P k Z v c m 1 1 b G E 8 L 0 l 0 Z W 1 U e X B l P j x J d G V t U G F 0 a D 5 T Z W N 0 a W 9 u M S 9 E Y X R h J T I w U 0 s v U m V u Y W 1 l Z C U y M E N v b H V t b n M 8 L 0 l 0 Z W 1 Q Y X R o P j w v S X R l b U x v Y 2 F 0 a W 9 u P j x T d G F i b G V F b n R y a W V z I C 8 + P C 9 J d G V t P j x J d G V t P j x J d G V t T G 9 j Y X R p b 2 4 + P E l 0 Z W 1 U e X B l P k Z v c m 1 1 b G E 8 L 0 l 0 Z W 1 U e X B l P j x J d G V t U G F 0 a D 5 T Z W N 0 a W 9 u M S 9 E Y X R h J T I w T W 9 s a W 8 8 L 0 l 0 Z W 1 Q Y X R o P j w v S X R l b U x v Y 2 F 0 a W 9 u P j x T d G F i b G V F b n R y a W V z P j x F b n R y e S B U e X B l P S J J c 1 B y a X Z h d G U i I F Z h b H V l P S J s M C I g L z 4 8 R W 5 0 c n k g V H l w Z T 0 i U X V l c n l J R C I g V m F s d W U 9 I n M z Z j N l Y j I 5 Z C 1 h Y 2 U 0 L T Q 4 O T Q t Y W V h M C 1 m Z j Y y M T B h N 2 J i N m I 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T G 9 h Z G V k V G 9 B b m F s e X N p c 1 N l c n Z p Y 2 V z I i B W Y W x 1 Z T 0 i b D A i I C 8 + P E V u d H J 5 I F R 5 c G U 9 I k Z p b G x F c n J v c k N v Z G U i I F Z h b H V l P S J z V W 5 r b m 9 3 b i I g L z 4 8 R W 5 0 c n k g V H l w Z T 0 i R m l s b E x h c 3 R V c G R h d G V k I i B W Y W x 1 Z T 0 i Z D I w M j U t M D M t M T B U M D c 6 N T Y 6 M j M u O T M 5 O T M 2 N l o i I C 8 + P E V u d H J 5 I F R 5 c G U 9 I k Z p b G x T d G F 0 d X M i I F Z h b H V l P S J z Q 2 9 t c G x l d G U i I C 8 + P C 9 T d G F i b G V F b n R y a W V z P j w v S X R l b T 4 8 S X R l b T 4 8 S X R l b U x v Y 2 F 0 a W 9 u P j x J d G V t V H l w Z T 5 G b 3 J t d W x h P C 9 J d G V t V H l w Z T 4 8 S X R l b V B h d G g + U 2 V j d G l v b j E v R G F 0 Y S U y M E 1 v b G l v L 1 N v d X J j Z T w v S X R l b V B h d G g + P C 9 J d G V t T G 9 j Y X R p b 2 4 + P F N 0 Y W J s Z U V u d H J p Z X M g L z 4 8 L 0 l 0 Z W 0 + P E l 0 Z W 0 + P E l 0 Z W 1 M b 2 N h d G l v b j 4 8 S X R l b V R 5 c G U + R m 9 y b X V s Y T w v S X R l b V R 5 c G U + P E l 0 Z W 1 Q Y X R o P l N l Y 3 R p b 2 4 x L 0 R h d G E l M j B N b 2 x p b y 9 G a W x 0 Z X J l Z C U y M F J v d 3 M 8 L 0 l 0 Z W 1 Q Y X R o P j w v S X R l b U x v Y 2 F 0 a W 9 u P j x T d G F i b G V F b n R y a W V z I C 8 + P C 9 J d G V t P j x J d G V t P j x J d G V t T G 9 j Y X R p b 2 4 + P E l 0 Z W 1 U e X B l P k Z v c m 1 1 b G E 8 L 0 l 0 Z W 1 U e X B l P j x J d G V t U G F 0 a D 5 T Z W N 0 a W 9 u M S 9 E Y X R h J T I w T W 9 s a W 8 v R X h w Y W 5 k Z W Q l M j B D b 2 5 0 Z W 5 0 P C 9 J d G V t U G F 0 a D 4 8 L 0 l 0 Z W 1 M b 2 N h d G l v b j 4 8 U 3 R h Y m x l R W 5 0 c m l l c y A v P j w v S X R l b T 4 8 S X R l b T 4 8 S X R l b U x v Y 2 F 0 a W 9 u P j x J d G V t V H l w Z T 5 G b 3 J t d W x h P C 9 J d G V t V H l w Z T 4 8 S X R l b V B h d G g + U 2 V j d G l v b j E v R G F 0 Y S U y M E 1 v b G l v L 0 Z p b H R l c m V k J T I w U m 9 3 c z E 8 L 0 l 0 Z W 1 Q Y X R o P j w v S X R l b U x v Y 2 F 0 a W 9 u P j x T d G F i b G V F b n R y a W V z I C 8 + P C 9 J d G V t P j x J d G V t P j x J d G V t T G 9 j Y X R p b 2 4 + P E l 0 Z W 1 U e X B l P k Z v c m 1 1 b G E 8 L 0 l 0 Z W 1 U e X B l P j x J d G V t U G F 0 a D 5 T Z W N 0 a W 9 u M S 9 E Y X R h J T I w T W 9 s a W 8 v U m V t b 3 Z l Z C U y M E N v b H V t b n M 8 L 0 l 0 Z W 1 Q Y X R o P j w v S X R l b U x v Y 2 F 0 a W 9 u P j x T d G F i b G V F b n R y a W V z I C 8 + P C 9 J d G V t P j x J d G V t P j x J d G V t T G 9 j Y X R p b 2 4 + P E l 0 Z W 1 U e X B l P k Z v c m 1 1 b G E 8 L 0 l 0 Z W 1 U e X B l P j x J d G V t U G F 0 a D 5 T Z W N 0 a W 9 u M S 9 E Y X R h J T I w T W 9 s a W 8 v Q 2 h h b m d l Z C U y M F R 5 c G U 8 L 0 l 0 Z W 1 Q Y X R o P j w v S X R l b U x v Y 2 F 0 a W 9 u P j x T d G F i b G V F b n R y a W V z I C 8 + P C 9 J d G V t P j x J d G V t P j x J d G V t T G 9 j Y X R p b 2 4 + P E l 0 Z W 1 U e X B l P k Z v c m 1 1 b G E 8 L 0 l 0 Z W 1 U e X B l P j x J d G V t U G F 0 a D 5 T Z W N 0 a W 9 u M S 9 E Y X R h J T I w T W 9 s a W 8 v U 3 B s a X Q l M j B D b 2 x 1 b W 4 l M j B i e S U y M E R l b G l t a X R l c j w v S X R l b V B h d G g + P C 9 J d G V t T G 9 j Y X R p b 2 4 + P F N 0 Y W J s Z U V u d H J p Z X M g L z 4 8 L 0 l 0 Z W 0 + P E l 0 Z W 0 + P E l 0 Z W 1 M b 2 N h d G l v b j 4 8 S X R l b V R 5 c G U + R m 9 y b X V s Y T w v S X R l b V R 5 c G U + P E l 0 Z W 1 Q Y X R o P l N l Y 3 R p b 2 4 x L 0 R h d G E l M j B N b 2 x p b y 9 S Z W 1 v d m V k J T I w Q 2 9 s d W 1 u c z E 8 L 0 l 0 Z W 1 Q Y X R o P j w v S X R l b U x v Y 2 F 0 a W 9 u P j x T d G F i b G V F b n R y a W V z I C 8 + P C 9 J d G V t P j x J d G V t P j x J d G V t T G 9 j Y X R p b 2 4 + P E l 0 Z W 1 U e X B l P k Z v c m 1 1 b G E 8 L 0 l 0 Z W 1 U e X B l P j x J d G V t U G F 0 a D 5 T Z W N 0 a W 9 u M S 9 E Y X R h J T I w T W 9 s a W 8 v U m V v c m R l c m V k J T I w Q 2 9 s d W 1 u c z w v S X R l b V B h d G g + P C 9 J d G V t T G 9 j Y X R p b 2 4 + P F N 0 Y W J s Z U V u d H J p Z X M g L z 4 8 L 0 l 0 Z W 0 + P E l 0 Z W 0 + P E l 0 Z W 1 M b 2 N h d G l v b j 4 8 S X R l b V R 5 c G U + R m 9 y b X V s Y T w v S X R l b V R 5 c G U + P E l 0 Z W 1 Q Y X R o P l N l Y 3 R p b 2 4 x L 0 R h d G E l M j B N b 2 x p b y 9 S Z W 5 h b W V k J T I w Q 2 9 s d W 1 u c z w v S X R l b V B h d G g + P C 9 J d G V t T G 9 j Y X R p b 2 4 + P F N 0 Y W J s Z U V u d H J p Z X M g L z 4 8 L 0 l 0 Z W 0 + P E l 0 Z W 0 + P E l 0 Z W 1 M b 2 N h d G l v b j 4 8 S X R l b V R 5 c G U + R m 9 y b X V s Y T w v S X R l b V R 5 c G U + P E l 0 Z W 1 Q Y X R o P l N l Y 3 R p b 2 4 x L 1 R h Y m V s X 1 N h b W x l Y X J r 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M m Z l Z T F i N W E t M m V j Z C 0 0 M W F i L T k 5 N m I t Y z V k M m E 5 Z m I 3 Y j Y 2 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M t M T B U M D c 6 N T Y 6 M j M u O T M 5 O T M 2 N l o i I C 8 + P E V u d H J 5 I F R 5 c G U 9 I k Z p b G x T d G F 0 d X M i I F Z h b H V l P S J z Q 2 9 t c G x l d G U i I C 8 + P C 9 T d G F i b G V F b n R y a W V z P j w v S X R l b T 4 8 S X R l b T 4 8 S X R l b U x v Y 2 F 0 a W 9 u P j x J d G V t V H l w Z T 5 G b 3 J t d W x h P C 9 J d G V t V H l w Z T 4 8 S X R l b V B h d G g + U 2 V j d G l v b j E v V G F i Z W x f U 2 F t b G V h c m s v U 2 9 1 c m N l P C 9 J d G V t U G F 0 a D 4 8 L 0 l 0 Z W 1 M b 2 N h d G l v b j 4 8 U 3 R h Y m x l R W 5 0 c m l l c y A v P j w v S X R l b T 4 8 S X R l b T 4 8 S X R l b U x v Y 2 F 0 a W 9 u P j x J d G V t V H l w Z T 5 G b 3 J t d W x h P C 9 J d G V t V H l w Z T 4 8 S X R l b V B h d G g + U 2 V j d G l v b j E v V G F i Z W x f U 2 F t b G V h c m s v Q 2 h h b m d l Z C U y M F R 5 c G U 8 L 0 l 0 Z W 1 Q Y X R o P j w v S X R l b U x v Y 2 F 0 a W 9 u P j x T d G F i b G V F b n R y a W V z I C 8 + P C 9 J d G V t P j x J d G V t P j x J d G V t T G 9 j Y X R p b 2 4 + P E l 0 Z W 1 U e X B l P k Z v c m 1 1 b G E 8 L 0 l 0 Z W 1 U e X B l P j x J d G V t U G F 0 a D 5 T Z W N 0 a W 9 u M S 9 U Y W J l b F 9 T Y W 1 s Z W F y a y 9 S Z W 1 v d m V k J T I w Q m x h b m s l M j B S b 3 d z P C 9 J d G V t U G F 0 a D 4 8 L 0 l 0 Z W 1 M b 2 N h d G l v b j 4 8 U 3 R h Y m x l R W 5 0 c m l l c y A v P j w v S X R l b T 4 8 S X R l b T 4 8 S X R l b U x v Y 2 F 0 a W 9 u P j x J d G V t V H l w Z T 5 G b 3 J t d W x h P C 9 J d G V t V H l w Z T 4 8 S X R l b V B h d G g + U 2 V j d G l v b j E v R G F 0 Y S U y M H N h b W x l d D w v S X R l b V B h d G g + P C 9 J d G V t T G 9 j Y X R p b 2 4 + P F N 0 Y W J s Z U V u d H J p Z X M + P E V u d H J 5 I F R 5 c G U 9 I k l z U H J p d m F 0 Z S I g V m F s d W U 9 I m w w I i A v P j x F b n R y e S B U e X B l P S J R d W V y e U l E I i B W Y W x 1 Z T 0 i c z M y Z D g w Y m Y w L T Y z O D E t N G Y 1 Y y 1 h Y m Q 4 L W I 5 Y j U 0 O W Q 0 Z T Q w M S I g L z 4 8 R W 5 0 c n k g V H l w Z T 0 i R m l s b E V u Y W J s Z W Q i I F Z h b H V l P S J s M S I g L z 4 8 R W 5 0 c n k g V H l w Z T 0 i R m l s b E 9 i a m V j d F R 5 c G U i I F Z h b H V l P S J z V G F i b G U i I C 8 + P E V u d H J 5 I F R 5 c G U 9 I k Z p b G x U b 0 R h d G F N b 2 R l b E V u Y W J s Z W Q i I F Z h b H V l P S J s M 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x I i A v P j x F b n R y e S B U e X B l P S J G a W x s Q 2 9 1 b n Q i I F Z h b H V l P S J s M T E i I C 8 + P E V u d H J 5 I F R 5 c G U 9 I k Z p b G x F c n J v c k N v Z G U i I F Z h b H V l P S J z V W 5 r b m 9 3 b i I g L z 4 8 R W 5 0 c n k g V H l w Z T 0 i R m l s b E V y c m 9 y Q 2 9 1 b n Q i I F Z h b H V l P S J s M C I g L z 4 8 R W 5 0 c n k g V H l w Z T 0 i R m l s b E x h c 3 R V c G R h d G V k I i B W Y W x 1 Z T 0 i Z D I w M j U t M D M t M T B U M D c 6 N T Y 6 M j M u M D Y 3 N D Q x M l o i I C 8 + P E V u d H J 5 I F R 5 c G U 9 I k Z p b G x D b 2 x 1 b W 5 U e X B l c y I g V m F s d W U 9 I n N C Z 1 l H Q m d V P S I g L z 4 8 R W 5 0 c n k g V H l w Z T 0 i R m l s b E N v b H V t b k 5 h b W V z I i B W Y W x 1 Z T 0 i c 1 s m c X V v d D t J R C Z x d W 9 0 O y w m c X V v d D t Q d W 5 r d C Z x d W 9 0 O y w m c X V v d D t C Z X N r c m l 2 Z W x z Z S Z x d W 9 0 O y w m c X V v d D t N Z X R v Z G U m c X V v d D s s J n F 1 b 3 Q 7 Q m V s w 7 h i J n F 1 b 3 Q 7 X S I g L z 4 8 R W 5 0 c n k g V H l w Z T 0 i R m l s b F R h c m d l d C I g V m F s d W U 9 I n N E Y X R h X 3 N h b W x l d C I g L z 4 8 R W 5 0 c n k g V H l w Z T 0 i U m V j b 3 Z l c n l U Y X J n Z X R S b 3 c i I F Z h b H V l P S J s M y I g L z 4 8 R W 5 0 c n k g V H l w Z T 0 i U m V j b 3 Z l c n l U Y X J n Z X R D b 2 x 1 b W 4 i I F Z h b H V l P S J s M S I g L z 4 8 R W 5 0 c n k g V H l w Z T 0 i U m V j b 3 Z l c n l U Y X J n Z X R T a G V l d C I g V m F s d W U 9 I n N P d X R w d X Q 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0 R h d G E g c 2 F t b G V 0 L 0 F k Z G V k I E N 1 c 3 R v b S 5 7 S U Q s N H 0 m c X V v d D s s J n F 1 b 3 Q 7 U 2 V j d G l v b j E v R G F 0 Y S B z Y W 1 s Z X Q v Q X B w Z W 5 k Z W Q g U X V l c n k u e 1 B 1 b m t 0 L D B 9 J n F 1 b 3 Q 7 L C Z x d W 9 0 O 1 N l Y 3 R p b 2 4 x L 0 R h d G E g c 2 F t b G V 0 L 0 F w c G V u Z G V k I F F 1 Z X J 5 L n t C Z X N r c m l 2 Z W x z Z S w x f S Z x d W 9 0 O y w m c X V v d D t T Z W N 0 a W 9 u M S 9 E Y X R h I H N h b W x l d C 9 B c H B l b m R l Z C B R d W V y e S 5 7 T W V 0 b 2 R l L D J 9 J n F 1 b 3 Q 7 L C Z x d W 9 0 O 1 N l Y 3 R p b 2 4 x L 0 R h d G E g c 2 F t b G V 0 L 0 F w c G V u Z G V k I F F 1 Z X J 5 L n t C Z W z D u G I s M 3 0 m c X V v d D t d L C Z x d W 9 0 O 0 N v b H V t b k N v d W 5 0 J n F 1 b 3 Q 7 O j U s J n F 1 b 3 Q 7 S 2 V 5 Q 2 9 s d W 1 u T m F t Z X M m c X V v d D s 6 W 1 0 s J n F 1 b 3 Q 7 Q 2 9 s d W 1 u S W R l b n R p d G l l c y Z x d W 9 0 O z p b J n F 1 b 3 Q 7 U 2 V j d G l v b j E v R G F 0 Y S B z Y W 1 s Z X Q v Q W R k Z W Q g Q 3 V z d G 9 t L n t J R C w 0 f S Z x d W 9 0 O y w m c X V v d D t T Z W N 0 a W 9 u M S 9 E Y X R h I H N h b W x l d C 9 B c H B l b m R l Z C B R d W V y e S 5 7 U H V u a 3 Q s M H 0 m c X V v d D s s J n F 1 b 3 Q 7 U 2 V j d G l v b j E v R G F 0 Y S B z Y W 1 s Z X Q v Q X B w Z W 5 k Z W Q g U X V l c n k u e 0 J l c 2 t y a X Z l b H N l L D F 9 J n F 1 b 3 Q 7 L C Z x d W 9 0 O 1 N l Y 3 R p b 2 4 x L 0 R h d G E g c 2 F t b G V 0 L 0 F w c G V u Z G V k I F F 1 Z X J 5 L n t N Z X R v Z G U s M n 0 m c X V v d D s s J n F 1 b 3 Q 7 U 2 V j d G l v b j E v R G F 0 Y S B z Y W 1 s Z X Q v Q X B w Z W 5 k Z W Q g U X V l c n k u e 0 J l b M O 4 Y i w z f S Z x d W 9 0 O 1 0 s J n F 1 b 3 Q 7 U m V s Y X R p b 2 5 z a G l w S W 5 m b y Z x d W 9 0 O z p b X X 0 i I C 8 + P C 9 T d G F i b G V F b n R y a W V z P j w v S X R l b T 4 8 S X R l b T 4 8 S X R l b U x v Y 2 F 0 a W 9 u P j x J d G V t V H l w Z T 5 G b 3 J t d W x h P C 9 J d G V t V H l w Z T 4 8 S X R l b V B h d G g + U 2 V j d G l v b j E v R G F 0 Y S U y M H N h b W x l d C 9 T b 3 V y Y 2 U 8 L 0 l 0 Z W 1 Q Y X R o P j w v S X R l b U x v Y 2 F 0 a W 9 u P j x T d G F i b G V F b n R y a W V z I C 8 + P C 9 J d G V t P j x J d G V t P j x J d G V t T G 9 j Y X R p b 2 4 + P E l 0 Z W 1 U e X B l P k Z v c m 1 1 b G E 8 L 0 l 0 Z W 1 U e X B l P j x J d G V t U G F 0 a D 5 T Z W N 0 a W 9 u M S 9 E Y X R h J T I w c 2 F t b G V 0 L 0 1 l c m d l Z C U y M F F 1 Z X J p Z X M 8 L 0 l 0 Z W 1 Q Y X R o P j w v S X R l b U x v Y 2 F 0 a W 9 u P j x T d G F i b G V F b n R y a W V z I C 8 + P C 9 J d G V t P j x J d G V t P j x J d G V t T G 9 j Y X R p b 2 4 + P E l 0 Z W 1 U e X B l P k Z v c m 1 1 b G E 8 L 0 l 0 Z W 1 U e X B l P j x J d G V t U G F 0 a D 5 T Z W N 0 a W 9 u M S 9 E Y X R h J T I w c 2 F t b G V 0 L 0 V 4 c G F u Z G V k J T I w V G F i Z W x f U 2 F t b G V h c m s 8 L 0 l 0 Z W 1 Q Y X R o P j w v S X R l b U x v Y 2 F 0 a W 9 u P j x T d G F i b G V F b n R y a W V z I C 8 + P C 9 J d G V t P j x J d G V t P j x J d G V t T G 9 j Y X R p b 2 4 + P E l 0 Z W 1 U e X B l P k Z v c m 1 1 b G E 8 L 0 l 0 Z W 1 U e X B l P j x J d G V t U G F 0 a D 5 T Z W N 0 a W 9 u M S 9 E Y X R h J T I w c 2 F t b G V 0 L 0 Z p b H R l c m V k J T I w U m 9 3 c z w v S X R l b V B h d G g + P C 9 J d G V t T G 9 j Y X R p b 2 4 + P F N 0 Y W J s Z U V u d H J p Z X M g L z 4 8 L 0 l 0 Z W 0 + P E l 0 Z W 0 + P E l 0 Z W 1 M b 2 N h d G l v b j 4 8 S X R l b V R 5 c G U + R m 9 y b X V s Y T w v S X R l b V R 5 c G U + P E l 0 Z W 1 Q Y X R o P l N l Y 3 R p b 2 4 x L 0 R h d G E l M j B z Y W 1 s Z X Q v U m V t b 3 Z l Z C U y M E N v b H V t b n M 8 L 0 l 0 Z W 1 Q Y X R o P j w v S X R l b U x v Y 2 F 0 a W 9 u P j x T d G F i b G V F b n R y a W V z I C 8 + P C 9 J d G V t P j x J d G V t P j x J d G V t T G 9 j Y X R p b 2 4 + P E l 0 Z W 1 U e X B l P k Z v c m 1 1 b G E 8 L 0 l 0 Z W 1 U e X B l P j x J d G V t U G F 0 a D 5 T Z W N 0 a W 9 u M S 9 E Y X R h J T I w U 2 F t b G V h c m s 8 L 0 l 0 Z W 1 Q Y X R o P j w v S X R l b U x v Y 2 F 0 a W 9 u P j x T d G F i b G V F b n R y a W V z P j x F b n R y e S B U e X B l P S J R d W V y e U l E I i B W Y W x 1 Z T 0 i c 2 Y 2 M j R m O T U y L T Z j Z D k t N D A 3 M S 0 5 Z W I 3 L W V h O D l k N z E w N j Q w O C I g L z 4 8 R W 5 0 c n k g V H l w Z T 0 i R m l s b E V u Y W J s Z W Q i I F Z h b H V l P S J s M C I g L z 4 8 R W 5 0 c n k g V H l w Z T 0 i R m l s b E 9 i a m V j d F R 5 c G U i I F Z h b H V l P S J z Q 2 9 u b m V j d G l v b k 9 u b H k 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J v d y I g V m F s d W U 9 I m w x I i A v P j x F b n R y e S B U e X B l P S J S Z W N v d m V y e V R h c m d l d E N v b H V t b i I g V m F s d W U 9 I m w x I i A v P j x F b n R y e S B U e X B l P S J S Z W N v d m V y e V R h c m d l d F N o Z W V 0 I i B W Y W x 1 Z T 0 i c 0 9 1 d H B 1 d C I g L z 4 8 R W 5 0 c n k g V H l w Z T 0 i R m l s b G V k Q 2 9 t c G x l d G V S Z X N 1 b H R U b 1 d v c m t z a G V l d C I g V m F s d W U 9 I m w w I i A v P j x F b n R y e S B U e X B l P S J B Z G R l Z F R v R G F 0 Y U 1 v Z G V s I i B W Y W x 1 Z T 0 i b D A i I C 8 + P E V u d H J 5 I F R 5 c G U 9 I k Z p b G x F c n J v c k N v Z G U i I F Z h b H V l P S J z V W 5 r b m 9 3 b i I g L z 4 8 R W 5 0 c n k g V H l w Z T 0 i R m l s b E x h c 3 R V c G R h d G V k I i B W Y W x 1 Z T 0 i Z D I w M j U t M D M t M T B U M D c 6 N T Y 6 M j M u O T M 5 O T M 2 N l o i I C 8 + P E V u d H J 5 I F R 5 c G U 9 I k Z p b G x D b 2 x 1 b W 5 U e X B l c y I g V m F s d W U 9 I n N C Z 1 l H Q l E 9 P S I g L z 4 8 R W 5 0 c n k g V H l w Z T 0 i R m l s b E N v b H V t b k 5 h b W V z I i B W Y W x 1 Z T 0 i c 1 s m c X V v d D t Q d W 5 r d C Z x d W 9 0 O y w m c X V v d D t C Z X N r c m l 2 Z W x z Z S Z x d W 9 0 O y w m c X V v d D t N Z X R v Z G U m c X V v d D s s J n F 1 b 3 Q 7 Q m V s w 7 h i 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R G F 0 Y S B T Y W 1 s Z W F y a y 9 B d X R v U m V t b 3 Z l Z E N v b H V t b n M x L n t Q d W 5 r d C w w f S Z x d W 9 0 O y w m c X V v d D t T Z W N 0 a W 9 u M S 9 E Y X R h I F N h b W x l Y X J r L 0 F 1 d G 9 S Z W 1 v d m V k Q 2 9 s d W 1 u c z E u e 0 J l c 2 t y a X Z l b H N l L D F 9 J n F 1 b 3 Q 7 L C Z x d W 9 0 O 1 N l Y 3 R p b 2 4 x L 0 R h d G E g U 2 F t b G V h c m s v Q X V 0 b 1 J l b W 9 2 Z W R D b 2 x 1 b W 5 z M S 5 7 T W V 0 b 2 R l L D J 9 J n F 1 b 3 Q 7 L C Z x d W 9 0 O 1 N l Y 3 R p b 2 4 x L 0 R h d G E g U 2 F t b G V h c m s v Q X V 0 b 1 J l b W 9 2 Z W R D b 2 x 1 b W 5 z M S 5 7 Q m V s w 7 h i L D N 9 J n F 1 b 3 Q 7 X S w m c X V v d D t D b 2 x 1 b W 5 D b 3 V u d C Z x d W 9 0 O z o 0 L C Z x d W 9 0 O 0 t l e U N v b H V t b k 5 h b W V z J n F 1 b 3 Q 7 O l t d L C Z x d W 9 0 O 0 N v b H V t b k l k Z W 5 0 a X R p Z X M m c X V v d D s 6 W y Z x d W 9 0 O 1 N l Y 3 R p b 2 4 x L 0 R h d G E g U 2 F t b G V h c m s v Q X V 0 b 1 J l b W 9 2 Z W R D b 2 x 1 b W 5 z M S 5 7 U H V u a 3 Q s M H 0 m c X V v d D s s J n F 1 b 3 Q 7 U 2 V j d G l v b j E v R G F 0 Y S B T Y W 1 s Z W F y a y 9 B d X R v U m V t b 3 Z l Z E N v b H V t b n M x L n t C Z X N r c m l 2 Z W x z Z S w x f S Z x d W 9 0 O y w m c X V v d D t T Z W N 0 a W 9 u M S 9 E Y X R h I F N h b W x l Y X J r L 0 F 1 d G 9 S Z W 1 v d m V k Q 2 9 s d W 1 u c z E u e 0 1 l d G 9 k Z S w y f S Z x d W 9 0 O y w m c X V v d D t T Z W N 0 a W 9 u M S 9 E Y X R h I F N h b W x l Y X J r L 0 F 1 d G 9 S Z W 1 v d m V k Q 2 9 s d W 1 u c z E u e 0 J l b M O 4 Y i w z f S Z x d W 9 0 O 1 0 s J n F 1 b 3 Q 7 U m V s Y X R p b 2 5 z a G l w S W 5 m b y Z x d W 9 0 O z p b X X 0 i I C 8 + P C 9 T d G F i b G V F b n R y a W V z P j w v S X R l b T 4 8 S X R l b T 4 8 S X R l b U x v Y 2 F 0 a W 9 u P j x J d G V t V H l w Z T 5 G b 3 J t d W x h P C 9 J d G V t V H l w Z T 4 8 S X R l b V B h d G g + U 2 V j d G l v b j E v R G F 0 Y S U y M F N h b W x l Y X J r L 1 N v d X J j Z T w v S X R l b V B h d G g + P C 9 J d G V t T G 9 j Y X R p b 2 4 + P F N 0 Y W J s Z U V u d H J p Z X M g L z 4 8 L 0 l 0 Z W 0 + P E l 0 Z W 0 + P E l 0 Z W 1 M b 2 N h d G l v b j 4 8 S X R l b V R 5 c G U + R m 9 y b X V s Y T w v S X R l b V R 5 c G U + P E l 0 Z W 1 Q Y X R o P l N l Y 3 R p b 2 4 x L 0 R h d G E l M j B T Y W 1 s Z W F y a y 9 S Z W 1 v d m V k J T I w Q 2 9 s d W 1 u c z w v S X R l b V B h d G g + P C 9 J d G V t T G 9 j Y X R p b 2 4 + P F N 0 Y W J s Z U V u d H J p Z X M g L z 4 8 L 0 l 0 Z W 0 + P E l 0 Z W 0 + P E l 0 Z W 1 M b 2 N h d G l v b j 4 8 S X R l b V R 5 c G U + R m 9 y b X V s Y T w v S X R l b V R 5 c G U + P E l 0 Z W 1 Q Y X R o P l N l Y 3 R p b 2 4 x L 0 R h d G E l M j B T Y W 1 s Z W F y a y 9 G a W x 0 Z X J l Z C U y M F J v d 3 M 8 L 0 l 0 Z W 1 Q Y X R o P j w v S X R l b U x v Y 2 F 0 a W 9 u P j x T d G F i b G V F b n R y a W V z I C 8 + P C 9 J d G V t P j x J d G V t P j x J d G V t T G 9 j Y X R p b 2 4 + P E l 0 Z W 1 U e X B l P k Z v c m 1 1 b G E 8 L 0 l 0 Z W 1 U e X B l P j x J d G V t U G F 0 a D 5 T Z W N 0 a W 9 u M S 9 E Y X R h J T I w U 2 F t b G V h c m s v Q W R k Z W Q l M j B D d X N 0 b 2 0 8 L 0 l 0 Z W 1 Q Y X R o P j w v S X R l b U x v Y 2 F 0 a W 9 u P j x T d G F i b G V F b n R y a W V z I C 8 + P C 9 J d G V t P j x J d G V t P j x J d G V t T G 9 j Y X R p b 2 4 + P E l 0 Z W 1 U e X B l P k Z v c m 1 1 b G E 8 L 0 l 0 Z W 1 U e X B l P j x J d G V t U G F 0 a D 5 T Z W N 0 a W 9 u M S 9 E Y X R h J T I w U 2 F t b G V h c m s v U m V v c m R l c m V k J T I w Q 2 9 s d W 1 u c z w v S X R l b V B h d G g + P C 9 J d G V t T G 9 j Y X R p b 2 4 + P F N 0 Y W J s Z U V u d H J p Z X M g L z 4 8 L 0 l 0 Z W 0 + P E l 0 Z W 0 + P E l 0 Z W 1 M b 2 N h d G l v b j 4 8 S X R l b V R 5 c G U + R m 9 y b X V s Y T w v S X R l b V R 5 c G U + P E l 0 Z W 1 Q Y X R o P l N l Y 3 R p b 2 4 x L 0 R h d G E l M j B z Y W 1 s Z X Q v Q X B w Z W 5 k Z W Q l M j B R d W V y e T w v S X R l b V B h d G g + P C 9 J d G V t T G 9 j Y X R p b 2 4 + P F N 0 Y W J s Z U V u d H J p Z X M g L z 4 8 L 0 l 0 Z W 0 + P E l 0 Z W 0 + P E l 0 Z W 1 M b 2 N h d G l v b j 4 8 S X R l b V R 5 c G U + R m 9 y b X V s Y T w v S X R l b V R 5 c G U + P E l 0 Z W 1 Q Y X R o P l N l Y 3 R p b 2 4 x L 0 R p b W V u c 2 l v b m V y P C 9 J d G V t U G F 0 a D 4 8 L 0 l 0 Z W 1 M b 2 N h d G l v b j 4 8 U 3 R h Y m x l R W 5 0 c m l l c z 4 8 R W 5 0 c n k g V H l w Z T 0 i U X V l c n l J R C I g V m F s d W U 9 I n M w N 2 Y z Y T Z m N C 1 i Y T U 3 L T Q 3 Z j g t Y T l l Y i 0 3 N D M 3 M j J i N W J l N j g i I C 8 + P E V u d H J 5 I F R 5 c G U 9 I k Z p b G x F b m F i b G V k I i B W Y W x 1 Z T 0 i b D A i I C 8 + P E V u d H J 5 I F R 5 c G U 9 I k Z p b G x P Y m p l Y 3 R U e X B l I i B W Y W x 1 Z T 0 i c 0 N v b m 5 l Y 3 R p b 2 5 P b m x 5 I i A v P j x F b n R y e S B U e X B l P S J G a W x s V G 9 E Y X R h T W 9 k Z W x F b m F i b G V k I i B W Y W x 1 Z T 0 i b D E 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G a W x s U 3 R h d H V z I i B W Y W x 1 Z T 0 i c 0 N v b X B s Z X R l I i A v P j x F b n R y e S B U e X B l P S J G a W x s Q 2 9 s d W 1 u T m F t Z X M i I F Z h b H V l P S J z W y Z x d W 9 0 O 0 h v d m V k c H V u a 3 Q m c X V v d D s s J n F 1 b 3 Q 7 U H V u a 3 Q m c X V v d D s s J n F 1 b 3 Q 7 U 2 F n c 2 9 w Z 2 F 2 Z S Z x d W 9 0 O y w m c X V v d D t Q d W 5 r d G J l c 2 t y a X Z l b H N l J n F 1 b 3 Q 7 X S I g L z 4 8 R W 5 0 c n k g V H l w Z T 0 i R m l s b E N v b H V t b l R 5 c G V z I i B W Y W x 1 Z T 0 i c 0 F 3 W U d C Z z 0 9 I i A v P j x F b n R y e S B U e X B l P S J G a W x s T G F z d F V w Z G F 0 Z W Q i I F Z h b H V l P S J k M j A y N S 0 w M y 0 x M F Q w N z o 1 N j o y M y 4 w N j c 0 N D E y W i I g L z 4 8 R W 5 0 c n k g V H l w Z T 0 i R m l s b E V y c m 9 y Q 2 9 1 b n Q i I F Z h b H V l P S J s M C I g L z 4 8 R W 5 0 c n k g V H l w Z T 0 i R m l s b E V y c m 9 y Q 2 9 k Z S I g V m F s d W U 9 I n N V b m t u b 3 d u I i A v P j x F b n R y e S B U e X B l P S J G a W x s Q 2 9 1 b n Q i I F Z h b H V l P S J s M j Y i I C 8 + P E V u d H J 5 I F R 5 c G U 9 I k F k Z G V k V G 9 E Y X R h T W 9 k Z W w i I F Z h b H V l P S J s M S I g L z 4 8 R W 5 0 c n k g V H l w Z T 0 i U m V s Y X R p b 2 5 z a G l w S W 5 m b 0 N v b n R h a W 5 l c i I g V m F s d W U 9 I n N 7 J n F 1 b 3 Q 7 Y 2 9 s d W 1 u Q 2 9 1 b n Q m c X V v d D s 6 N C w m c X V v d D t r Z X l D b 2 x 1 b W 5 O Y W 1 l c y Z x d W 9 0 O z p b X S w m c X V v d D t x d W V y e V J l b G F 0 a W 9 u c 2 h p c H M m c X V v d D s 6 W 1 0 s J n F 1 b 3 Q 7 Y 2 9 s d W 1 u S W R l b n R p d G l l c y Z x d W 9 0 O z p b J n F 1 b 3 Q 7 U 2 V j d G l v b j E v V G F i Z W x f U 2 F t b G V h c m s v Q 2 h h b m d l Z C B U e X B l L n t I b 3 Z l Z H B 1 b m t 0 L D F 9 J n F 1 b 3 Q 7 L C Z x d W 9 0 O 1 N l Y 3 R p b 2 4 x L 1 R h Y m V s X 1 N h b W x l Y X J r L 0 N o Y W 5 n Z W Q g V H l w Z S 5 7 U H V u a 3 Q s M H 0 m c X V v d D s s J n F 1 b 3 Q 7 U 2 V j d G l v b j E v V G F i Z W x f U 2 F t b G V h c m s v Q 2 h h b m d l Z C B U e X B l L n t T Y W d z b 3 B n Y X Z l L D J 9 J n F 1 b 3 Q 7 L C Z x d W 9 0 O 1 N l Y 3 R p b 2 4 x L 1 R h Y m V s X 1 N h b W x l Y X J r L 0 N o Y W 5 n Z W Q g V H l w Z S 5 7 Q m V z a 3 J p d m V s c 2 U s M 3 0 m c X V v d D t d L C Z x d W 9 0 O 0 N v b H V t b k N v d W 5 0 J n F 1 b 3 Q 7 O j Q s J n F 1 b 3 Q 7 S 2 V 5 Q 2 9 s d W 1 u T m F t Z X M m c X V v d D s 6 W 1 0 s J n F 1 b 3 Q 7 Q 2 9 s d W 1 u S W R l b n R p d G l l c y Z x d W 9 0 O z p b J n F 1 b 3 Q 7 U 2 V j d G l v b j E v V G F i Z W x f U 2 F t b G V h c m s v Q 2 h h b m d l Z C B U e X B l L n t I b 3 Z l Z H B 1 b m t 0 L D F 9 J n F 1 b 3 Q 7 L C Z x d W 9 0 O 1 N l Y 3 R p b 2 4 x L 1 R h Y m V s X 1 N h b W x l Y X J r L 0 N o Y W 5 n Z W Q g V H l w Z S 5 7 U H V u a 3 Q s M H 0 m c X V v d D s s J n F 1 b 3 Q 7 U 2 V j d G l v b j E v V G F i Z W x f U 2 F t b G V h c m s v Q 2 h h b m d l Z C B U e X B l L n t T Y W d z b 3 B n Y X Z l L D J 9 J n F 1 b 3 Q 7 L C Z x d W 9 0 O 1 N l Y 3 R p b 2 4 x L 1 R h Y m V s X 1 N h b W x l Y X J r L 0 N o Y W 5 n Z W Q g V H l w Z S 5 7 Q m V z a 3 J p d m V s c 2 U s M 3 0 m c X V v d D t d L C Z x d W 9 0 O 1 J l b G F 0 a W 9 u c 2 h p c E l u Z m 8 m c X V v d D s 6 W 1 1 9 I i A v P j w v U 3 R h Y m x l R W 5 0 c m l l c z 4 8 L 0 l 0 Z W 0 + P E l 0 Z W 0 + P E l 0 Z W 1 M b 2 N h d G l v b j 4 8 S X R l b V R 5 c G U + R m 9 y b X V s Y T w v S X R l b V R 5 c G U + P E l 0 Z W 1 Q Y X R o P l N l Y 3 R p b 2 4 x L 0 R p b W V u c 2 l v b m V y L 1 N v d X J j Z T w v S X R l b V B h d G g + P C 9 J d G V t T G 9 j Y X R p b 2 4 + P F N 0 Y W J s Z U V u d H J p Z X M g L z 4 8 L 0 l 0 Z W 0 + P E l 0 Z W 0 + P E l 0 Z W 1 M b 2 N h d G l v b j 4 8 S X R l b V R 5 c G U + R m 9 y b X V s Y T w v S X R l b V R 5 c G U + P E l 0 Z W 1 Q Y X R o P l N l Y 3 R p b 2 4 x L 0 R p b W V u c 2 l v b m V y L 1 J l b 3 J k Z X J l Z C U y M E N v b H V t b n M 8 L 0 l 0 Z W 1 Q Y X R o P j w v S X R l b U x v Y 2 F 0 a W 9 u P j x T d G F i b G V F b n R y a W V z I C 8 + P C 9 J d G V t P j x J d G V t P j x J d G V t T G 9 j Y X R p b 2 4 + P E l 0 Z W 1 U e X B l P k Z v c m 1 1 b G E 8 L 0 l 0 Z W 1 U e X B l P j x J d G V t U G F 0 a D 5 T Z W N 0 a W 9 u M S 9 E a W 1 l b n N p b 2 5 l c i 9 S Z W 5 h b W V k J T I w Q 2 9 s d W 1 u c z w v S X R l b V B h d G g + P C 9 J d G V t T G 9 j Y X R p b 2 4 + P F N 0 Y W J s Z U V u d H J p Z X M g L z 4 8 L 0 l 0 Z W 0 + P E l 0 Z W 0 + P E l 0 Z W 1 M b 2 N h d G l v b j 4 8 S X R l b V R 5 c G U + R m 9 y b X V s Y T w v S X R l b V R 5 c G U + P E l 0 Z W 1 Q Y X R o P l N l Y 3 R p b 2 4 x L 0 R p b W V u c 2 l v b m V y L 1 J l b W 9 2 Z W Q l M j B D b 2 x 1 b W 5 z P C 9 J d G V t U G F 0 a D 4 8 L 0 l 0 Z W 1 M b 2 N h d G l v b j 4 8 U 3 R h Y m x l R W 5 0 c m l l c y A v P j w v S X R l b T 4 8 S X R l b T 4 8 S X R l b U x v Y 2 F 0 a W 9 u P j x J d G V t V H l w Z T 5 G b 3 J t d W x h P C 9 J d G V t V H l w Z T 4 8 S X R l b V B h d G g + U 2 V j d G l v b j E v U 3 R h b W R h d G E 8 L 0 l 0 Z W 1 Q Y X R o P j w v S X R l b U x v Y 2 F 0 a W 9 u P j x T d G F i b G V F b n R y a W V z P j x F b n R y e S B U e X B l P S J J c 1 B y a X Z h d G U i I F Z h b H V l P S J s M C I g L z 4 8 R W 5 0 c n k g V H l w Z T 0 i U X V l c n l J R C I g V m F s d W U 9 I n M 4 N D A 0 N j A 3 Y i 1 l M D d m L T Q 3 Z m E t O W V m M C 0 5 Z j Z m Y j I 0 O W E 1 M z I i I C 8 + P E V u d H J 5 I F R 5 c G U 9 I k Z p b G x F b m F i b G V k I i B W Y W x 1 Z T 0 i b D E i I C 8 + P E V u d H J 5 I F R 5 c G U 9 I k Z p b G x P Y m p l Y 3 R U e X B l I i B W Y W x 1 Z T 0 i c 1 R h Y m x l I i A v P j x F b n R y e S B U e X B l P S J G a W x s V G 9 E Y X R h T W 9 k Z W x F b m F i b G V k I i B W Y W x 1 Z T 0 i b D E 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9 1 d H B 1 d C I g L z 4 8 R W 5 0 c n k g V H l w Z T 0 i U m V j b 3 Z l c n l U Y X J n Z X R D b 2 x 1 b W 4 i I F Z h b H V l P S J s O C I g L z 4 8 R W 5 0 c n k g V H l w Z T 0 i U m V j b 3 Z l c n l U Y X J n Z X R S b 3 c i I F Z h b H V l P S J s M y I g L z 4 8 R W 5 0 c n k g V H l w Z T 0 i R m l s b F R h c m d l d C I g V m F s d W U 9 I n N T d G F t Z G F 0 Y S I g L z 4 8 R W 5 0 c n k g V H l w Z T 0 i R m l s b G V k Q 2 9 t c G x l d G V S Z X N 1 b H R U b 1 d v c m t z a G V l d C I g V m F s d W U 9 I m w x I i A v P j x F b n R y e S B U e X B l P S J B Z G R l Z F R v R G F 0 Y U 1 v Z G V s I i B W Y W x 1 Z T 0 i b D E i I C 8 + P E V u d H J 5 I F R 5 c G U 9 I k Z p b G x D b 3 V u d C I g V m F s d W U 9 I m w x I i A v P j x F b n R y e S B U e X B l P S J G a W x s R X J y b 3 J D b 2 R l I i B W Y W x 1 Z T 0 i c 1 V u a 2 5 v d 2 4 i I C 8 + P E V u d H J 5 I F R 5 c G U 9 I k Z p b G x F c n J v c k N v d W 5 0 I i B W Y W x 1 Z T 0 i b D A i I C 8 + P E V u d H J 5 I F R 5 c G U 9 I k Z p b G x M Y X N 0 V X B k Y X R l Z C I g V m F s d W U 9 I m Q y M D I 1 L T A z L T E w V D A 3 O j U 2 O j I z L j A 4 M D Q 1 N z h a I i A v P j x F b n R y e S B U e X B l P S J G a W x s Q 2 9 s d W 1 u V H l w Z X M i I F Z h b H V l P S J z Q m d Z R 0 F 3 W U p C Z 2 t K Q k F Z P S I g L z 4 8 R W 5 0 c n k g V H l w Z T 0 i R m l s b E N v b H V t b k 5 h b W V z I i B W Y W x 1 Z T 0 i c 1 s m c X V v d D t J R C Z x d W 9 0 O y w m c X V v d D t Q c m 9 q Z W t 0 b m F 2 b i Z x d W 9 0 O y w m c X V v d D t B b n N 2 Y X J s a W c g U E w m c X V v d D s s J n F 1 b 3 Q 7 U 2 F n c 2 5 y L i Z x d W 9 0 O y w m c X V v d D t Z Q k w t Z m F z Z S Z x d W 9 0 O y w m c X V v d D t S Z X Z p c 2 l v b n N k Y X R v J n F 1 b 3 Q 7 L C Z x d W 9 0 O 1 J l d m l z a W 9 u c 2 5 1 b W 1 l c i Z x d W 9 0 O y w m c X V v d D t G b 3 J 2 Z W 5 0 Z X Q g c 3 R h c n R k Y X R v J n F 1 b 3 Q 7 L C Z x d W 9 0 O 0 Z v c n Z l b n R l d C B z b H V 0 Z G F 0 b y Z x d W 9 0 O y w m c X V v d D t B b m R l b C B h b m z D p m c m c X V v d D s s J n F 1 b 3 Q 7 R 2 9 k a 2 V u Z H Q g Y W Y m c X V v d D t d I i A v P j x F b n R y e S B U e X B l P S J G a W x s U 3 R h d H V z I i B W Y W x 1 Z T 0 i c 0 N v b X B s Z X R l I i A v P j x F b n R y e S B U e X B l P S J S Z W x h d G l v b n N o a X B J b m Z v Q 2 9 u d G F p b m V y I i B W Y W x 1 Z T 0 i c 3 s m c X V v d D t j b 2 x 1 b W 5 D b 3 V u d C Z x d W 9 0 O z o x M S w m c X V v d D t r Z X l D b 2 x 1 b W 5 O Y W 1 l c y Z x d W 9 0 O z p b X S w m c X V v d D t x d W V y e V J l b G F 0 a W 9 u c 2 h p c H M m c X V v d D s 6 W 1 0 s J n F 1 b 3 Q 7 Y 2 9 s d W 1 u S W R l b n R p d G l l c y Z x d W 9 0 O z p b J n F 1 b 3 Q 7 U 2 V j d G l v b j E v U 3 R h b W R h d G E v Q W R k Z W Q g Q 3 V z d G 9 t L n t J R C w x M H 0 m c X V v d D s s J n F 1 b 3 Q 7 U 2 V j d G l v b j E v U 3 R h b W R h d G E v Q 2 h h b m d l Z C B U e X B l L n t Q c m 9 q Z W t 0 b m F 2 b i w w f S Z x d W 9 0 O y w m c X V v d D t T Z W N 0 a W 9 u M S 9 T d G F t Z G F 0 Y S 9 D a G F u Z 2 V k I F R 5 c G U u e 0 F u c 3 Z h c m x p Z y B Q T C w x f S Z x d W 9 0 O y w m c X V v d D t T Z W N 0 a W 9 u M S 9 T d G F t Z G F 0 Y S 9 D a G F u Z 2 V k I F R 5 c G U u e 1 N h Z 3 N u c i 4 s M n 0 m c X V v d D s s J n F 1 b 3 Q 7 U 2 V j d G l v b j E v U 3 R h b W R h d G E v Q 2 h h b m d l Z C B U e X B l L n t Z Q k w t Z m F z Z S w z f S Z x d W 9 0 O y w m c X V v d D t T Z W N 0 a W 9 u M S 9 T d G F t Z G F 0 Y S 9 D a G F u Z 2 V k I F R 5 c G U u e 1 J l d m l z a W 9 u c 2 R h d G 8 s N H 0 m c X V v d D s s J n F 1 b 3 Q 7 U 2 V j d G l v b j E v U 3 R h b W R h d G E v Q 2 h h b m d l Z C B U e X B l L n t S Z X Z p c 2 l v b n N u d W 1 t Z X I s N X 0 m c X V v d D s s J n F 1 b 3 Q 7 U 2 V j d G l v b j E v U 3 R h b W R h d G E v Q 2 h h b m d l Z C B U e X B l L n t G b 3 J 2 Z W 5 0 Z X Q g c 3 R h c n R k Y X R v L D Z 9 J n F 1 b 3 Q 7 L C Z x d W 9 0 O 1 N l Y 3 R p b 2 4 x L 1 N 0 Y W 1 k Y X R h L 0 N o Y W 5 n Z W Q g V H l w Z S 5 7 R m 9 y d m V u d G V 0 I H N s d X R k Y X R v L D d 9 J n F 1 b 3 Q 7 L C Z x d W 9 0 O 1 N l Y 3 R p b 2 4 x L 1 N 0 Y W 1 k Y X R h L 0 N o Y W 5 n Z W Q g V H l w Z S 5 7 Q W 5 k Z W w g Y W 5 s w 6 Z n L D h 9 J n F 1 b 3 Q 7 L C Z x d W 9 0 O 1 N l Y 3 R p b 2 4 x L 1 N 0 Y W 1 k Y X R h L 0 N o Y W 5 n Z W Q g V H l w Z S 5 7 R 2 9 k a 2 V u Z H Q g Y W Y s O X 0 m c X V v d D t d L C Z x d W 9 0 O 0 N v b H V t b k N v d W 5 0 J n F 1 b 3 Q 7 O j E x L C Z x d W 9 0 O 0 t l e U N v b H V t b k 5 h b W V z J n F 1 b 3 Q 7 O l t d L C Z x d W 9 0 O 0 N v b H V t b k l k Z W 5 0 a X R p Z X M m c X V v d D s 6 W y Z x d W 9 0 O 1 N l Y 3 R p b 2 4 x L 1 N 0 Y W 1 k Y X R h L 0 F k Z G V k I E N 1 c 3 R v b S 5 7 S U Q s M T B 9 J n F 1 b 3 Q 7 L C Z x d W 9 0 O 1 N l Y 3 R p b 2 4 x L 1 N 0 Y W 1 k Y X R h L 0 N o Y W 5 n Z W Q g V H l w Z S 5 7 U H J v a m V r d G 5 h d m 4 s M H 0 m c X V v d D s s J n F 1 b 3 Q 7 U 2 V j d G l v b j E v U 3 R h b W R h d G E v Q 2 h h b m d l Z C B U e X B l L n t B b n N 2 Y X J s a W c g U E w s M X 0 m c X V v d D s s J n F 1 b 3 Q 7 U 2 V j d G l v b j E v U 3 R h b W R h d G E v Q 2 h h b m d l Z C B U e X B l L n t T Y W d z b n I u L D J 9 J n F 1 b 3 Q 7 L C Z x d W 9 0 O 1 N l Y 3 R p b 2 4 x L 1 N 0 Y W 1 k Y X R h L 0 N o Y W 5 n Z W Q g V H l w Z S 5 7 W U J M L W Z h c 2 U s M 3 0 m c X V v d D s s J n F 1 b 3 Q 7 U 2 V j d G l v b j E v U 3 R h b W R h d G E v Q 2 h h b m d l Z C B U e X B l L n t S Z X Z p c 2 l v b n N k Y X R v L D R 9 J n F 1 b 3 Q 7 L C Z x d W 9 0 O 1 N l Y 3 R p b 2 4 x L 1 N 0 Y W 1 k Y X R h L 0 N o Y W 5 n Z W Q g V H l w Z S 5 7 U m V 2 a X N p b 2 5 z b n V t b W V y L D V 9 J n F 1 b 3 Q 7 L C Z x d W 9 0 O 1 N l Y 3 R p b 2 4 x L 1 N 0 Y W 1 k Y X R h L 0 N o Y W 5 n Z W Q g V H l w Z S 5 7 R m 9 y d m V u d G V 0 I H N 0 Y X J 0 Z G F 0 b y w 2 f S Z x d W 9 0 O y w m c X V v d D t T Z W N 0 a W 9 u M S 9 T d G F t Z G F 0 Y S 9 D a G F u Z 2 V k I F R 5 c G U u e 0 Z v c n Z l b n R l d C B z b H V 0 Z G F 0 b y w 3 f S Z x d W 9 0 O y w m c X V v d D t T Z W N 0 a W 9 u M S 9 T d G F t Z G F 0 Y S 9 D a G F u Z 2 V k I F R 5 c G U u e 0 F u Z G V s I G F u b M O m Z y w 4 f S Z x d W 9 0 O y w m c X V v d D t T Z W N 0 a W 9 u M S 9 T d G F t Z G F 0 Y S 9 D a G F u Z 2 V k I F R 5 c G U u e 0 d v Z G t l b m R 0 I G F m L D l 9 J n F 1 b 3 Q 7 X S w m c X V v d D t S Z W x h d G l v b n N o a X B J b m Z v J n F 1 b 3 Q 7 O l t d f S I g L z 4 8 L 1 N 0 Y W J s Z U V u d H J p Z X M + P C 9 J d G V t P j x J d G V t P j x J d G V t T G 9 j Y X R p b 2 4 + P E l 0 Z W 1 U e X B l P k Z v c m 1 1 b G E 8 L 0 l 0 Z W 1 U e X B l P j x J d G V t U G F 0 a D 5 T Z W N 0 a W 9 u M S 9 T d G F t Z G F 0 Y S 9 T b 3 V y Y 2 U 8 L 0 l 0 Z W 1 Q Y X R o P j w v S X R l b U x v Y 2 F 0 a W 9 u P j x T d G F i b G V F b n R y a W V z I C 8 + P C 9 J d G V t P j x J d G V t P j x J d G V t T G 9 j Y X R p b 2 4 + P E l 0 Z W 1 U e X B l P k Z v c m 1 1 b G E 8 L 0 l 0 Z W 1 U e X B l P j x J d G V t U G F 0 a D 5 T Z W N 0 a W 9 u M S 9 T d G F t Z G F 0 Y S 9 Q a X Z v d G V k J T I w Q 2 9 s d W 1 u P C 9 J d G V t U G F 0 a D 4 8 L 0 l 0 Z W 1 M b 2 N h d G l v b j 4 8 U 3 R h Y m x l R W 5 0 c m l l c y A v P j w v S X R l b T 4 8 S X R l b T 4 8 S X R l b U x v Y 2 F 0 a W 9 u P j x J d G V t V H l w Z T 5 G b 3 J t d W x h P C 9 J d G V t V H l w Z T 4 8 S X R l b V B h d G g + U 2 V j d G l v b j E v U 3 R h b W R h d G E v Q 2 h h b m d l Z C U y M F R 5 c G U 8 L 0 l 0 Z W 1 Q Y X R o P j w v S X R l b U x v Y 2 F 0 a W 9 u P j x T d G F i b G V F b n R y a W V z I C 8 + P C 9 J d G V t P j x J d G V t P j x J d G V t T G 9 j Y X R p b 2 4 + P E l 0 Z W 1 U e X B l P k Z v c m 1 1 b G E 8 L 0 l 0 Z W 1 U e X B l P j x J d G V t U G F 0 a D 5 T Z W N 0 a W 9 u M S 9 T d G F t Z G F 0 Y S 9 B Z G R l Z C U y M E N 1 c 3 R v b T w v S X R l b V B h d G g + P C 9 J d G V t T G 9 j Y X R p b 2 4 + P F N 0 Y W J s Z U V u d H J p Z X M g L z 4 8 L 0 l 0 Z W 0 + P E l 0 Z W 0 + P E l 0 Z W 1 M b 2 N h d G l v b j 4 8 S X R l b V R 5 c G U + R m 9 y b X V s Y T w v S X R l b V R 5 c G U + P E l 0 Z W 1 Q Y X R o P l N l Y 3 R p b 2 4 x L 1 N 0 Y W 1 k Y X R h L 1 J l b 3 J k Z X J l Z C U y M E N v b H V t b n M 8 L 0 l 0 Z W 1 Q Y X R o P j w v S X R l b U x v Y 2 F 0 a W 9 u P j x T d G F i b G V F b n R y a W V z I C 8 + P C 9 J d G V t P j x J d G V t P j x J d G V t T G 9 j Y X R p b 2 4 + P E l 0 Z W 1 U e X B l P k Z v c m 1 1 b G E 8 L 0 l 0 Z W 1 U e X B l P j x J d G V t U G F 0 a D 5 T Z W N 0 a W 9 u M S 9 E Y X R h J T I w c 2 F t b G V 0 L 0 F k Z G V k J T I w Q 3 V z d G 9 t P C 9 J d G V t U G F 0 a D 4 8 L 0 l 0 Z W 1 M b 2 N h d G l v b j 4 8 U 3 R h Y m x l R W 5 0 c m l l c y A v P j w v S X R l b T 4 8 S X R l b T 4 8 S X R l b U x v Y 2 F 0 a W 9 u P j x J d G V t V H l w Z T 5 G b 3 J t d W x h P C 9 J d G V t V H l w Z T 4 8 S X R l b V B h d G g + U 2 V j d G l v b j E v R G F 0 Y S U y M H N h b W x l d C 9 S Z W 9 y Z G V y Z W Q l M j B D b 2 x 1 b W 5 z P C 9 J d G V t U G F 0 a D 4 8 L 0 l 0 Z W 1 M b 2 N h d G l v b j 4 8 U 3 R h Y m x l R W 5 0 c m l l c y A v P j w v S X R l b T 4 8 L 0 l 0 Z W 1 z P j w v T G 9 j Y W x Q Y W N r Y W d l T W V 0 Y W R h d G F G a W x l P h Y A A A B Q S w U G A A A A A A A A A A A A A A A A A A A A A A A A 2 g A A A A E A A A D Q j J 3 f A R X R E Y x 6 A M B P w p f r A Q A A A B C F c 4 5 E k b 9 J j B V v B L j M 2 i E A A A A A A g A A A A A A A 2 Y A A M A A A A A Q A A A A 6 D Y p A L o Q h D b Y m b t 6 X C r E k Q A A A A A E g A A A o A A A A B A A A A D o W q x V l N y S 1 X k r E S 6 i t J 2 8 U A A A A O V o V w F m D h v 0 B x j A Y F m + 8 H D I l Q n F v R 6 q G q A U 9 r a q X z Y 3 2 d 3 t U P Y D T 8 q R t E v H n G i J J f W / 3 j W S R S S 5 k v o k w X F X 0 1 t u i + 3 a X g C J 2 w c S L H 1 s d n S U F A A A A B k r k b G 8 s 5 f 5 B + e u e 7 M H M 2 a J G s T s < / D a t a M a s h u p > 
</file>

<file path=customXml/item10.xml>��< ? x m l   v e r s i o n = " 1 . 0 "   e n c o d i n g = " U T F - 1 6 " ? > < G e m i n i   x m l n s = " h t t p : / / g e m i n i / p i v o t c u s t o m i z a t i o n / S a n d b o x N o n E m p t y " > < C u s t o m C o n t e n t > < ! [ C D A T A [ 1 ] ] > < / C u s t o m C o n t e n t > < / G e m i n i > 
</file>

<file path=customXml/item1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 2 0 2 5 - 0 3 - 0 6 T 0 8 : 5 8 : 1 4 . 0 0 0 7 4 1 3 + 0 1 : 0 0 < / L a s t P r o c e s s e d T i m e > < / D a t a M o d e l i n g S a n d b o x . S e r i a l i z e d S a n d b o x E r r o r C a c h e > ] ] > < / C u s t o m C o n t e n t > < / G e m i n i > 
</file>

<file path=customXml/item12.xml>��< ? x m l   v e r s i o n = " 1 . 0 "   e n c o d i n g = " U T F - 1 6 " ? > < G e m i n i   x m l n s = " h t t p : / / g e m i n i / p i v o t c u s t o m i z a t i o n / T a b l e X M L _ D i m e n s i o n e r _ 0 0 f a 7 6 e 2 - 1 4 5 7 - 4 e e 4 - b 4 9 7 - f 3 d 9 4 8 c 3 7 e a 3 " > < C u s t o m C o n t e n t > < ! [ C D A T A [ < T a b l e W i d g e t G r i d S e r i a l i z a t i o n   x m l n s : x s d = " h t t p : / / w w w . w 3 . o r g / 2 0 0 1 / X M L S c h e m a "   x m l n s : x s i = " h t t p : / / w w w . w 3 . o r g / 2 0 0 1 / X M L S c h e m a - i n s t a n c e " > < C o l u m n S u g g e s t e d T y p e   / > < C o l u m n F o r m a t   / > < C o l u m n A c c u r a c y   / > < C o l u m n C u r r e n c y S y m b o l   / > < C o l u m n P o s i t i v e P a t t e r n   / > < C o l u m n N e g a t i v e P a t t e r n   / > < C o l u m n W i d t h s > < i t e m > < k e y > < s t r i n g > H o v e d p u n k t < / s t r i n g > < / k e y > < v a l u e > < i n t > 1 1 4 < / i n t > < / v a l u e > < / i t e m > < i t e m > < k e y > < s t r i n g > P u n k t < / s t r i n g > < / k e y > < v a l u e > < i n t > 7 3 < / i n t > < / v a l u e > < / i t e m > < i t e m > < k e y > < s t r i n g > S a g s o p g a v e < / s t r i n g > < / k e y > < v a l u e > < i n t > 1 1 7 < / i n t > < / v a l u e > < / i t e m > < i t e m > < k e y > < s t r i n g > P u n k t b e s k r i v e l s e < / s t r i n g > < / k e y > < v a l u e > < i n t > 1 4 7 < / i n t > < / v a l u e > < / i t e m > < / C o l u m n W i d t h s > < C o l u m n D i s p l a y I n d e x > < i t e m > < k e y > < s t r i n g > H o v e d p u n k t < / s t r i n g > < / k e y > < v a l u e > < i n t > 0 < / i n t > < / v a l u e > < / i t e m > < i t e m > < k e y > < s t r i n g > P u n k t < / s t r i n g > < / k e y > < v a l u e > < i n t > 1 < / i n t > < / v a l u e > < / i t e m > < i t e m > < k e y > < s t r i n g > S a g s o p g a v e < / s t r i n g > < / k e y > < v a l u e > < i n t > 2 < / i n t > < / v a l u e > < / i t e m > < i t e m > < k e y > < s t r i n g > P u n k t b e s k r i v e l s e < / s t r i n g > < / k e y > < v a l u e > < i n t > 3 < / 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T a b l e X M L _ D a t a   s a m l e t _ 7 d 1 d 1 d c 4 - d 1 b 9 - 4 4 a c - 9 e 9 8 - e 6 b 8 c f 3 7 c 3 d 1 " > < C u s t o m C o n t e n t > < ! [ C D A T A [ < T a b l e W i d g e t G r i d S e r i a l i z a t i o n   x m l n s : x s d = " h t t p : / / w w w . w 3 . o r g / 2 0 0 1 / X M L S c h e m a "   x m l n s : x s i = " h t t p : / / w w w . w 3 . o r g / 2 0 0 1 / X M L S c h e m a - i n s t a n c e " > < C o l u m n S u g g e s t e d T y p e   / > < C o l u m n F o r m a t   / > < C o l u m n A c c u r a c y   / > < C o l u m n C u r r e n c y S y m b o l   / > < C o l u m n P o s i t i v e P a t t e r n   / > < C o l u m n N e g a t i v e P a t t e r n   / > < C o l u m n W i d t h s > < i t e m > < k e y > < s t r i n g > P u n k t < / s t r i n g > < / k e y > < v a l u e > < i n t > 7 3 < / i n t > < / v a l u e > < / i t e m > < i t e m > < k e y > < s t r i n g > B e s k r i v e l s e < / s t r i n g > < / k e y > < v a l u e > < i n t > 1 1 1 < / i n t > < / v a l u e > < / i t e m > < i t e m > < k e y > < s t r i n g > M e t o d e < / s t r i n g > < / k e y > < v a l u e > < i n t > 8 5 < / i n t > < / v a l u e > < / i t e m > < i t e m > < k e y > < s t r i n g > B e l � b < / s t r i n g > < / k e y > < v a l u e > < i n t > 7 3 < / i n t > < / v a l u e > < / i t e m > < i t e m > < k e y > < s t r i n g > I D < / s t r i n g > < / k e y > < v a l u e > < i n t > 4 9 < / i n t > < / v a l u e > < / i t e m > < / C o l u m n W i d t h s > < C o l u m n D i s p l a y I n d e x > < i t e m > < k e y > < s t r i n g > P u n k t < / s t r i n g > < / k e y > < v a l u e > < i n t > 0 < / i n t > < / v a l u e > < / i t e m > < i t e m > < k e y > < s t r i n g > B e s k r i v e l s e < / s t r i n g > < / k e y > < v a l u e > < i n t > 1 < / i n t > < / v a l u e > < / i t e m > < i t e m > < k e y > < s t r i n g > M e t o d e < / s t r i n g > < / k e y > < v a l u e > < i n t > 2 < / i n t > < / v a l u e > < / i t e m > < i t e m > < k e y > < s t r i n g > B e l � b < / s t r i n g > < / k e y > < v a l u e > < i n t > 3 < / i n t > < / v a l u e > < / i t e m > < i t e m > < k e y > < s t r i n g > I D < / s t r i n g > < / k e y > < v a l u e > < i n t > 4 < / 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S h o w I m p l i c i t M e a s u r e s " > < C u s t o m C o n t e n t > < ! [ C D A T A [ F a l s e ] ] > < / C u s t o m C o n t e n t > < / G e m i n i > 
</file>

<file path=customXml/item1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 D i m e n s i o n e r _ 0 0 f a 7 6 e 2 - 1 4 5 7 - 4 e e 4 - b 4 9 7 - f 3 d 9 4 8 c 3 7 e a 3 < / K e y > < V a l u e   x m l n s : a = " h t t p : / / s c h e m a s . d a t a c o n t r a c t . o r g / 2 0 0 4 / 0 7 / M i c r o s o f t . A n a l y s i s S e r v i c e s . C o m m o n " > < a : H a s F o c u s > t r u e < / a : H a s F o c u s > < a : S i z e A t D p i 9 6 > 1 1 3 < / a : S i z e A t D p i 9 6 > < a : V i s i b l e > t r u e < / a : V i s i b l e > < / V a l u e > < / K e y V a l u e O f s t r i n g S a n d b o x E d i t o r . M e a s u r e G r i d S t a t e S c d E 3 5 R y > < K e y V a l u e O f s t r i n g S a n d b o x E d i t o r . M e a s u r e G r i d S t a t e S c d E 3 5 R y > < K e y > D a t a   s a m l e t _ 7 d 1 d 1 d c 4 - d 1 b 9 - 4 4 a c - 9 e 9 8 - e 6 b 8 c f 3 7 c 3 d 1 < / K e y > < V a l u e   x m l n s : a = " h t t p : / / s c h e m a s . d a t a c o n t r a c t . o r g / 2 0 0 4 / 0 7 / M i c r o s o f t . A n a l y s i s S e r v i c e s . C o m m o n " > < a : H a s F o c u s > f a l s e < / a : H a s F o c u s > < a : S i z e A t D p i 9 6 > 1 1 3 < / a : S i z e A t D p i 9 6 > < a : V i s i b l e > t r u e < / a : V i s i b l e > < / V a l u e > < / K e y V a l u e O f s t r i n g S a n d b o x E d i t o r . M e a s u r e G r i d S t a t e S c d E 3 5 R y > < K e y V a l u e O f s t r i n g S a n d b o x E d i t o r . M e a s u r e G r i d S t a t e S c d E 3 5 R y > < K e y > B e r e g n i n g e r < / 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1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 D i m e n s i o n e r 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 D i m e n s i o n e r 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 C o l u m n s \ H o v e d p u n k t < / K e y > < / a : K e y > < a : V a l u e   i : t y p e = " T a b l e W i d g e t B a s e V i e w S t a t e " / > < / a : K e y V a l u e O f D i a g r a m O b j e c t K e y a n y T y p e z b w N T n L X > < a : K e y V a l u e O f D i a g r a m O b j e c t K e y a n y T y p e z b w N T n L X > < a : K e y > < K e y > C o l u m n s \ P u n k t < / K e y > < / a : K e y > < a : V a l u e   i : t y p e = " T a b l e W i d g e t B a s e V i e w S t a t e " / > < / a : K e y V a l u e O f D i a g r a m O b j e c t K e y a n y T y p e z b w N T n L X > < a : K e y V a l u e O f D i a g r a m O b j e c t K e y a n y T y p e z b w N T n L X > < a : K e y > < K e y > C o l u m n s \ S a g s o p g a v e < / K e y > < / a : K e y > < a : V a l u e   i : t y p e = " T a b l e W i d g e t B a s e V i e w S t a t e " / > < / a : K e y V a l u e O f D i a g r a m O b j e c t K e y a n y T y p e z b w N T n L X > < a : K e y V a l u e O f D i a g r a m O b j e c t K e y a n y T y p e z b w N T n L X > < a : K e y > < K e y > C o l u m n s \ P u n k t b e s k r i v e l s e 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 D a t a   s a m l e t 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 D a t a   s a m l e t 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 C o l u m n s \ I D < / K e y > < / a : K e y > < a : V a l u e   i : t y p e = " T a b l e W i d g e t B a s e V i e w S t a t e " / > < / a : K e y V a l u e O f D i a g r a m O b j e c t K e y a n y T y p e z b w N T n L X > < a : K e y V a l u e O f D i a g r a m O b j e c t K e y a n y T y p e z b w N T n L X > < a : K e y > < K e y > C o l u m n s \ P u n k t < / K e y > < / a : K e y > < a : V a l u e   i : t y p e = " T a b l e W i d g e t B a s e V i e w S t a t e " / > < / a : K e y V a l u e O f D i a g r a m O b j e c t K e y a n y T y p e z b w N T n L X > < a : K e y V a l u e O f D i a g r a m O b j e c t K e y a n y T y p e z b w N T n L X > < a : K e y > < K e y > C o l u m n s \ B e s k r i v e l s e < / K e y > < / a : K e y > < a : V a l u e   i : t y p e = " T a b l e W i d g e t B a s e V i e w S t a t e " / > < / a : K e y V a l u e O f D i a g r a m O b j e c t K e y a n y T y p e z b w N T n L X > < a : K e y V a l u e O f D i a g r a m O b j e c t K e y a n y T y p e z b w N T n L X > < a : K e y > < K e y > C o l u m n s \ M e t o d e < / K e y > < / a : K e y > < a : V a l u e   i : t y p e = " T a b l e W i d g e t B a s e V i e w S t a t e " / > < / a : K e y V a l u e O f D i a g r a m O b j e c t K e y a n y T y p e z b w N T n L X > < a : K e y V a l u e O f D i a g r a m O b j e c t K e y a n y T y p e z b w N T n L X > < a : K e y > < K e y > C o l u m n s \ B e l � b < / 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 B e r e g n i n g e r 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 B e r e g n i n g e r 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7.xml>��< ? x m l   v e r s i o n = " 1 . 0 "   e n c o d i n g = " U T F - 1 6 " ? > < G e m i n i   x m l n s = " h t t p : / / g e m i n i / p i v o t c u s t o m i z a t i o n / I s S a n d b o x E m b e d d e d " > < C u s t o m C o n t e n t > < ! [ C D A T A [ y e s ] ] > < / C u s t o m C o n t e n t > < / G e m i n i > 
</file>

<file path=customXml/item18.xml>��< ? x m l   v e r s i o n = " 1 . 0 "   e n c o d i n g = " U T F - 1 6 " ? > < G e m i n i   x m l n s = " h t t p : / / g e m i n i / p i v o t c u s t o m i z a t i o n / M a n u a l C a l c M o d e " > < C u s t o m C o n t e n t > < ! [ C D A T A [ F a l s e ] ] > < / C u s t o m C o n t e n t > < / G e m i n i > 
</file>

<file path=customXml/item19.xml>��< ? x m l   v e r s i o n = " 1 . 0 "   e n c o d i n g = " U T F - 1 6 " ? > < G e m i n i   x m l n s = " h t t p : / / g e m i n i / p i v o t c u s t o m i z a t i o n / T a b l e X M L _ B e r e g n i n g e r " > < C u s t o m C o n t e n t > < ! [ C D A T A [ < T a b l e W i d g e t G r i d S e r i a l i z a t i o n   x m l n s : x s d = " h t t p : / / w w w . w 3 . o r g / 2 0 0 1 / X M L S c h e m a "   x m l n s : x s i = " h t t p : / / w w w . w 3 . o r g / 2 0 0 1 / X M L S c h e m a - i n s t a n c e " > < C o l u m n S u g g e s t e d T y p e > < i t e m > < k e y > < s t r i n g > C o l u m n < / s t r i n g > < / k e y > < v a l u e > < s t r i n g > E m p t y < / s t r i n g > < / v a l u e > < / i t e m > < / C o l u m n S u g g e s t e d T y p e > < C o l u m n F o r m a t   / > < C o l u m n A c c u r a c y   / > < C o l u m n C u r r e n c y S y m b o l   / > < C o l u m n P o s i t i v e P a t t e r n   / > < C o l u m n N e g a t i v e P a t t e r n   / > < C o l u m n W i d t h s > < i t e m > < k e y > < s t r i n g > C o l u m n < / s t r i n g > < / k e y > < v a l u e > < i n t > 8 7 < / i n t > < / v a l u e > < / i t e m > < / C o l u m n W i d t h s > < C o l u m n D i s p l a y I n d e x > < i t e m > < k e y > < s t r i n g > C o l u m n < / s t r i n g > < / k e y > < v a l u e > < i n t > 0 < / 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C l i e n t W i n d o w X M L " > < C u s t o m C o n t e n t > < ! [ C D A T A [ B e r e g n i n g e r ] ] > < / C u s t o m C o n t e n t > < / G e m i n i > 
</file>

<file path=customXml/item20.xml>��< ? x m l   v e r s i o n = " 1 . 0 "   e n c o d i n g = " U T F - 1 6 " ? > < G e m i n i   x m l n s = " h t t p : / / g e m i n i / p i v o t c u s t o m i z a t i o n / P o w e r P i v o t V e r s i o n " > < C u s t o m C o n t e n t > < ! [ C D A T A [ 2 0 1 5 . 1 3 0 . 1 6 0 6 . 1 ] ] > < / C u s t o m C o n t e n t > < / G e m i n i > 
</file>

<file path=customXml/item3.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4.xml>��< ? x m l   v e r s i o n = " 1 . 0 "   e n c o d i n g = " U T F - 1 6 " ? > < G e m i n i   x m l n s = " h t t p : / / g e m i n i / p i v o t c u s t o m i z a t i o n / S h o w H i d d e n " > < C u s t o m C o n t e n t > < ! [ C D A T A [ T r u e ] ] > < / C u s t o m C o n t e n t > < / G e m i n i > 
</file>

<file path=customXml/item5.xml>��< ? x m l   v e r s i o n = " 1 . 0 "   e n c o d i n g = " U T F - 1 6 " ? > < G e m i n i   x m l n s = " h t t p : / / g e m i n i / p i v o t c u s t o m i z a t i o n / L i n k e d T a b l e U p d a t e M o d e " > < C u s t o m C o n t e n t > < ! [ C D A T A [ T r u e ] ] > < / C u s t o m C o n t e n t > < / G e m i n i > 
</file>

<file path=customXml/item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 D i m e n s i o n e r 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 D i m e n s i o n e r 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 C o l u m n s \ H o v e d p u n k t < / K e y > < / D i a g r a m O b j e c t K e y > < D i a g r a m O b j e c t K e y > < K e y > C o l u m n s \ P u n k t < / K e y > < / D i a g r a m O b j e c t K e y > < D i a g r a m O b j e c t K e y > < K e y > C o l u m n s \ S a g s o p g a v e < / K e y > < / D i a g r a m O b j e c t K e y > < D i a g r a m O b j e c t K e y > < K e y > C o l u m n s \ P u n k t b e s k r i v e l s e 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 C o l u m n s \ H o v e d p u n k t < / K e y > < / a : K e y > < a : V a l u e   i : t y p e = " M e a s u r e G r i d N o d e V i e w S t a t e " > < L a y e d O u t > t r u e < / L a y e d O u t > < / a : V a l u e > < / a : K e y V a l u e O f D i a g r a m O b j e c t K e y a n y T y p e z b w N T n L X > < a : K e y V a l u e O f D i a g r a m O b j e c t K e y a n y T y p e z b w N T n L X > < a : K e y > < K e y > C o l u m n s \ P u n k t < / K e y > < / a : K e y > < a : V a l u e   i : t y p e = " M e a s u r e G r i d N o d e V i e w S t a t e " > < C o l u m n > 1 < / C o l u m n > < L a y e d O u t > t r u e < / L a y e d O u t > < / a : V a l u e > < / a : K e y V a l u e O f D i a g r a m O b j e c t K e y a n y T y p e z b w N T n L X > < a : K e y V a l u e O f D i a g r a m O b j e c t K e y a n y T y p e z b w N T n L X > < a : K e y > < K e y > C o l u m n s \ S a g s o p g a v e < / K e y > < / a : K e y > < a : V a l u e   i : t y p e = " M e a s u r e G r i d N o d e V i e w S t a t e " > < C o l u m n > 2 < / C o l u m n > < L a y e d O u t > t r u e < / L a y e d O u t > < / a : V a l u e > < / a : K e y V a l u e O f D i a g r a m O b j e c t K e y a n y T y p e z b w N T n L X > < a : K e y V a l u e O f D i a g r a m O b j e c t K e y a n y T y p e z b w N T n L X > < a : K e y > < K e y > C o l u m n s \ P u n k t b e s k r i v e l s e < / K e y > < / a : K e y > < a : V a l u e   i : t y p e = " M e a s u r e G r i d N o d e V i e w S t a t e " > < C o l u m n > 3 < / C o l u m n > < L a y e d O u t > t r u e < / L a y e d O u t > < / a : V a l u e > < / a : K e y V a l u e O f D i a g r a m O b j e c t K e y a n y T y p e z b w N T n L X > < / V i e w S t a t e s > < / D i a g r a m M a n a g e r . S e r i a l i z a b l e D i a g r a m > < D i a g r a m M a n a g e r . S e r i a l i z a b l e D i a g r a m > < A d a p t e r   i : t y p e = " M e a s u r e D i a g r a m S a n d b o x A d a p t e r " > < T a b l e N a m e > B e r e g n i n g e r 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 B e r e g n i n g e r 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 M e a s u r e s \ B u d g e t   b e l � b < / K e y > < / D i a g r a m O b j e c t K e y > < D i a g r a m O b j e c t K e y > < K e y > M e a s u r e s \ B u d g e t   b e l � b \ T a g I n f o \ F o r m u l a < / K e y > < / D i a g r a m O b j e c t K e y > < D i a g r a m O b j e c t K e y > < K e y > M e a s u r e s \ B u d g e t   b e l � b \ T a g I n f o \ V a l u e < / K e y > < / D i a g r a m O b j e c t K e y > < D i a g r a m O b j e c t K e y > < K e y > C o l u m n s \ C o l u m n 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 M e a s u r e s \ B u d g e t   b e l � b < / K e y > < / a : K e y > < a : V a l u e   i : t y p e = " M e a s u r e G r i d N o d e V i e w S t a t e " > < L a y e d O u t > t r u e < / L a y e d O u t > < / a : V a l u e > < / a : K e y V a l u e O f D i a g r a m O b j e c t K e y a n y T y p e z b w N T n L X > < a : K e y V a l u e O f D i a g r a m O b j e c t K e y a n y T y p e z b w N T n L X > < a : K e y > < K e y > M e a s u r e s \ B u d g e t   b e l � b \ T a g I n f o \ F o r m u l a < / K e y > < / a : K e y > < a : V a l u e   i : t y p e = " M e a s u r e G r i d V i e w S t a t e I D i a g r a m T a g A d d i t i o n a l I n f o " / > < / a : K e y V a l u e O f D i a g r a m O b j e c t K e y a n y T y p e z b w N T n L X > < a : K e y V a l u e O f D i a g r a m O b j e c t K e y a n y T y p e z b w N T n L X > < a : K e y > < K e y > M e a s u r e s \ B u d g e t   b e l � b \ T a g I n f o \ V a l u e < / K e y > < / a : K e y > < a : V a l u e   i : t y p e = " M e a s u r e G r i d V i e w S t a t e I D i a g r a m T a g A d d i t i o n a l I n f o " / > < / a : K e y V a l u e O f D i a g r a m O b j e c t K e y a n y T y p e z b w N T n L X > < a : K e y V a l u e O f D i a g r a m O b j e c t K e y a n y T y p e z b w N T n L X > < a : K e y > < K e y > C o l u m n s \ C o l u m n < / K e y > < / a : K e y > < a : V a l u e   i : t y p e = " M e a s u r e G r i d N o d e V i e w S t a t e " > < 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 T a g s \ T a b l e s \ & l t ; T a b l e s \ D i m e n s i o n e r & g t ; < / K e y > < / D i a g r a m O b j e c t K e y > < D i a g r a m O b j e c t K e y > < K e y > D y n a m i c   T a g s \ T a b l e s \ & l t ; T a b l e s \ D a t a   s a m l e t & g t ; < / K e y > < / D i a g r a m O b j e c t K e y > < D i a g r a m O b j e c t K e y > < K e y > D y n a m i c   T a g s \ T a b l e s \ & l t ; T a b l e s \ B e r e g n i n g e r & g t ; < / K e y > < / D i a g r a m O b j e c t K e y > < D i a g r a m O b j e c t K e y > < K e y > D y n a m i c   T a g s \ T a b l e s \ & l t ; T a b l e s \ S t a m d a t a & g t ; < / K e y > < / D i a g r a m O b j e c t K e y > < D i a g r a m O b j e c t K e y > < K e y > T a b l e s \ D i m e n s i o n e r < / K e y > < / D i a g r a m O b j e c t K e y > < D i a g r a m O b j e c t K e y > < K e y > T a b l e s \ D i m e n s i o n e r \ C o l u m n s \ H o v e d p u n k t < / K e y > < / D i a g r a m O b j e c t K e y > < D i a g r a m O b j e c t K e y > < K e y > T a b l e s \ D i m e n s i o n e r \ C o l u m n s \ P u n k t < / K e y > < / D i a g r a m O b j e c t K e y > < D i a g r a m O b j e c t K e y > < K e y > T a b l e s \ D i m e n s i o n e r \ C o l u m n s \ S a g s o p g a v e < / K e y > < / D i a g r a m O b j e c t K e y > < D i a g r a m O b j e c t K e y > < K e y > T a b l e s \ D i m e n s i o n e r \ C o l u m n s \ P u n k t b e s k r i v e l s e < / K e y > < / D i a g r a m O b j e c t K e y > < D i a g r a m O b j e c t K e y > < K e y > T a b l e s \ D a t a   s a m l e t < / K e y > < / D i a g r a m O b j e c t K e y > < D i a g r a m O b j e c t K e y > < K e y > T a b l e s \ D a t a   s a m l e t \ C o l u m n s \ I D < / K e y > < / D i a g r a m O b j e c t K e y > < D i a g r a m O b j e c t K e y > < K e y > T a b l e s \ D a t a   s a m l e t \ C o l u m n s \ P u n k t < / K e y > < / D i a g r a m O b j e c t K e y > < D i a g r a m O b j e c t K e y > < K e y > T a b l e s \ D a t a   s a m l e t \ C o l u m n s \ B e s k r i v e l s e < / K e y > < / D i a g r a m O b j e c t K e y > < D i a g r a m O b j e c t K e y > < K e y > T a b l e s \ D a t a   s a m l e t \ C o l u m n s \ M e t o d e < / K e y > < / D i a g r a m O b j e c t K e y > < D i a g r a m O b j e c t K e y > < K e y > T a b l e s \ D a t a   s a m l e t \ C o l u m n s \ B e l � b < / K e y > < / D i a g r a m O b j e c t K e y > < D i a g r a m O b j e c t K e y > < K e y > T a b l e s \ B e r e g n i n g e r < / K e y > < / D i a g r a m O b j e c t K e y > < D i a g r a m O b j e c t K e y > < K e y > T a b l e s \ B e r e g n i n g e r \ C o l u m n s \ C o l u m n < / K e y > < / D i a g r a m O b j e c t K e y > < D i a g r a m O b j e c t K e y > < K e y > T a b l e s \ B e r e g n i n g e r \ M e a s u r e s \ B u d g e t   b e l � b < / K e y > < / D i a g r a m O b j e c t K e y > < D i a g r a m O b j e c t K e y > < K e y > T a b l e s \ S t a m d a t a < / K e y > < / D i a g r a m O b j e c t K e y > < D i a g r a m O b j e c t K e y > < K e y > T a b l e s \ S t a m d a t a \ C o l u m n s \ I D < / K e y > < / D i a g r a m O b j e c t K e y > < D i a g r a m O b j e c t K e y > < K e y > T a b l e s \ S t a m d a t a \ C o l u m n s \ P r o j e k t n a v n < / K e y > < / D i a g r a m O b j e c t K e y > < D i a g r a m O b j e c t K e y > < K e y > T a b l e s \ S t a m d a t a \ C o l u m n s \ A n s v a r l i g   P L < / K e y > < / D i a g r a m O b j e c t K e y > < D i a g r a m O b j e c t K e y > < K e y > T a b l e s \ S t a m d a t a \ C o l u m n s \ S a g s n r . < / K e y > < / D i a g r a m O b j e c t K e y > < D i a g r a m O b j e c t K e y > < K e y > T a b l e s \ S t a m d a t a \ C o l u m n s \ Y B L - f a s e < / K e y > < / D i a g r a m O b j e c t K e y > < D i a g r a m O b j e c t K e y > < K e y > T a b l e s \ S t a m d a t a \ C o l u m n s \ R e v i s i o n s d a t o < / K e y > < / D i a g r a m O b j e c t K e y > < D i a g r a m O b j e c t K e y > < K e y > T a b l e s \ S t a m d a t a \ C o l u m n s \ R e v i s i o n s n u m m e r < / K e y > < / D i a g r a m O b j e c t K e y > < D i a g r a m O b j e c t K e y > < K e y > T a b l e s \ S t a m d a t a \ C o l u m n s \ F o r v e n t e t   s t a r t d a t o < / K e y > < / D i a g r a m O b j e c t K e y > < D i a g r a m O b j e c t K e y > < K e y > T a b l e s \ S t a m d a t a \ C o l u m n s \ F o r v e n t e t   s l u t d a t o < / K e y > < / D i a g r a m O b j e c t K e y > < D i a g r a m O b j e c t K e y > < K e y > T a b l e s \ S t a m d a t a \ C o l u m n s \ A n d e l   a n l � g < / K e y > < / D i a g r a m O b j e c t K e y > < D i a g r a m O b j e c t K e y > < K e y > T a b l e s \ S t a m d a t a \ C o l u m n s \ G o d k e n d t   a f < / K e y > < / D i a g r a m O b j e c t K e y > < D i a g r a m O b j e c t K e y > < K e y > R e l a t i o n s h i p s \ & l t ; T a b l e s \ D a t a   s a m l e t \ C o l u m n s \ P u n k t & g t ; - & l t ; T a b l e s \ D i m e n s i o n e r \ C o l u m n s \ P u n k t & g t ; < / K e y > < / D i a g r a m O b j e c t K e y > < D i a g r a m O b j e c t K e y > < K e y > R e l a t i o n s h i p s \ & l t ; T a b l e s \ D a t a   s a m l e t \ C o l u m n s \ P u n k t & g t ; - & l t ; T a b l e s \ D i m e n s i o n e r \ C o l u m n s \ P u n k t & g t ; \ F K < / K e y > < / D i a g r a m O b j e c t K e y > < D i a g r a m O b j e c t K e y > < K e y > R e l a t i o n s h i p s \ & l t ; T a b l e s \ D a t a   s a m l e t \ C o l u m n s \ P u n k t & g t ; - & l t ; T a b l e s \ D i m e n s i o n e r \ C o l u m n s \ P u n k t & g t ; \ P K < / K e y > < / D i a g r a m O b j e c t K e y > < D i a g r a m O b j e c t K e y > < K e y > R e l a t i o n s h i p s \ & l t ; T a b l e s \ D a t a   s a m l e t \ C o l u m n s \ P u n k t & g t ; - & l t ; T a b l e s \ D i m e n s i o n e r \ C o l u m n s \ P u n k t & g t ; \ C r o s s F i l t e r < / K e y > < / D i a g r a m O b j e c t K e y > < D i a g r a m O b j e c t K e y > < K e y > R e l a t i o n s h i p s \ & l t ; T a b l e s \ D a t a   s a m l e t \ C o l u m n s \ I D & g t ; - & l t ; T a b l e s \ S t a m d a t a \ C o l u m n s \ I D & g t ; < / K e y > < / D i a g r a m O b j e c t K e y > < D i a g r a m O b j e c t K e y > < K e y > R e l a t i o n s h i p s \ & l t ; T a b l e s \ D a t a   s a m l e t \ C o l u m n s \ I D & g t ; - & l t ; T a b l e s \ S t a m d a t a \ C o l u m n s \ I D & g t ; \ F K < / K e y > < / D i a g r a m O b j e c t K e y > < D i a g r a m O b j e c t K e y > < K e y > R e l a t i o n s h i p s \ & l t ; T a b l e s \ D a t a   s a m l e t \ C o l u m n s \ I D & g t ; - & l t ; T a b l e s \ S t a m d a t a \ C o l u m n s \ I D & g t ; \ P K < / K e y > < / D i a g r a m O b j e c t K e y > < D i a g r a m O b j e c t K e y > < K e y > R e l a t i o n s h i p s \ & l t ; T a b l e s \ D a t a   s a m l e t \ C o l u m n s \ I D & g t ; - & l t ; T a b l e s \ S t a m d a t a \ C o l u m n s \ I D & g t ; \ C r o s s F i l t e r < / K e y > < / D i a g r a m O b j e c t K e y > < / A l l K e y s > < S e l e c t e d K e y s > < D i a g r a m O b j e c t K e y > < K e y > T a b l e s \ D i m e n s i o n e r < / 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 T a g s \ T a b l e s \ & l t ; T a b l e s \ D i m e n s i o n e r & g t ; < / K e y > < / a : K e y > < a : V a l u e   i : t y p e = " D i a g r a m D i s p l a y T a g V i e w S t a t e " > < I s N o t F i l t e r e d O u t > t r u e < / I s N o t F i l t e r e d O u t > < / a : V a l u e > < / a : K e y V a l u e O f D i a g r a m O b j e c t K e y a n y T y p e z b w N T n L X > < a : K e y V a l u e O f D i a g r a m O b j e c t K e y a n y T y p e z b w N T n L X > < a : K e y > < K e y > D y n a m i c   T a g s \ T a b l e s \ & l t ; T a b l e s \ D a t a   s a m l e t & g t ; < / K e y > < / a : K e y > < a : V a l u e   i : t y p e = " D i a g r a m D i s p l a y T a g V i e w S t a t e " > < I s N o t F i l t e r e d O u t > t r u e < / I s N o t F i l t e r e d O u t > < / a : V a l u e > < / a : K e y V a l u e O f D i a g r a m O b j e c t K e y a n y T y p e z b w N T n L X > < a : K e y V a l u e O f D i a g r a m O b j e c t K e y a n y T y p e z b w N T n L X > < a : K e y > < K e y > D y n a m i c   T a g s \ T a b l e s \ & l t ; T a b l e s \ B e r e g n i n g e r & g t ; < / K e y > < / a : K e y > < a : V a l u e   i : t y p e = " D i a g r a m D i s p l a y T a g V i e w S t a t e " > < I s N o t F i l t e r e d O u t > t r u e < / I s N o t F i l t e r e d O u t > < / a : V a l u e > < / a : K e y V a l u e O f D i a g r a m O b j e c t K e y a n y T y p e z b w N T n L X > < a : K e y V a l u e O f D i a g r a m O b j e c t K e y a n y T y p e z b w N T n L X > < a : K e y > < K e y > D y n a m i c   T a g s \ T a b l e s \ & l t ; T a b l e s \ S t a m d a t a & g t ; < / K e y > < / a : K e y > < a : V a l u e   i : t y p e = " D i a g r a m D i s p l a y T a g V i e w S t a t e " > < I s N o t F i l t e r e d O u t > t r u e < / I s N o t F i l t e r e d O u t > < / a : V a l u e > < / a : K e y V a l u e O f D i a g r a m O b j e c t K e y a n y T y p e z b w N T n L X > < a : K e y V a l u e O f D i a g r a m O b j e c t K e y a n y T y p e z b w N T n L X > < a : K e y > < K e y > T a b l e s \ D i m e n s i o n e r < / K e y > < / a : K e y > < a : V a l u e   i : t y p e = " D i a g r a m D i s p l a y N o d e V i e w S t a t e " > < H e i g h t > 1 5 0 < / H e i g h t > < I s E x p a n d e d > t r u e < / I s E x p a n d e d > < L a y e d O u t > t r u e < / L a y e d O u t > < L e f t > 3 4 7 < / L e f t > < T a b I n d e x > 3 < / T a b I n d e x > < T o p > 3 1 9 < / T o p > < W i d t h > 2 0 0 < / W i d t h > < / a : V a l u e > < / a : K e y V a l u e O f D i a g r a m O b j e c t K e y a n y T y p e z b w N T n L X > < a : K e y V a l u e O f D i a g r a m O b j e c t K e y a n y T y p e z b w N T n L X > < a : K e y > < K e y > T a b l e s \ D i m e n s i o n e r \ C o l u m n s \ H o v e d p u n k t < / K e y > < / a : K e y > < a : V a l u e   i : t y p e = " D i a g r a m D i s p l a y N o d e V i e w S t a t e " > < H e i g h t > 1 5 0 < / H e i g h t > < I s E x p a n d e d > t r u e < / I s E x p a n d e d > < W i d t h > 2 0 0 < / W i d t h > < / a : V a l u e > < / a : K e y V a l u e O f D i a g r a m O b j e c t K e y a n y T y p e z b w N T n L X > < a : K e y V a l u e O f D i a g r a m O b j e c t K e y a n y T y p e z b w N T n L X > < a : K e y > < K e y > T a b l e s \ D i m e n s i o n e r \ C o l u m n s \ P u n k t < / K e y > < / a : K e y > < a : V a l u e   i : t y p e = " D i a g r a m D i s p l a y N o d e V i e w S t a t e " > < H e i g h t > 1 5 0 < / H e i g h t > < I s E x p a n d e d > t r u e < / I s E x p a n d e d > < W i d t h > 2 0 0 < / W i d t h > < / a : V a l u e > < / a : K e y V a l u e O f D i a g r a m O b j e c t K e y a n y T y p e z b w N T n L X > < a : K e y V a l u e O f D i a g r a m O b j e c t K e y a n y T y p e z b w N T n L X > < a : K e y > < K e y > T a b l e s \ D i m e n s i o n e r \ C o l u m n s \ S a g s o p g a v e < / K e y > < / a : K e y > < a : V a l u e   i : t y p e = " D i a g r a m D i s p l a y N o d e V i e w S t a t e " > < H e i g h t > 1 5 0 < / H e i g h t > < I s E x p a n d e d > t r u e < / I s E x p a n d e d > < W i d t h > 2 0 0 < / W i d t h > < / a : V a l u e > < / a : K e y V a l u e O f D i a g r a m O b j e c t K e y a n y T y p e z b w N T n L X > < a : K e y V a l u e O f D i a g r a m O b j e c t K e y a n y T y p e z b w N T n L X > < a : K e y > < K e y > T a b l e s \ D i m e n s i o n e r \ C o l u m n s \ P u n k t b e s k r i v e l s e < / K e y > < / a : K e y > < a : V a l u e   i : t y p e = " D i a g r a m D i s p l a y N o d e V i e w S t a t e " > < H e i g h t > 1 5 0 < / H e i g h t > < I s E x p a n d e d > t r u e < / I s E x p a n d e d > < W i d t h > 2 0 0 < / W i d t h > < / a : V a l u e > < / a : K e y V a l u e O f D i a g r a m O b j e c t K e y a n y T y p e z b w N T n L X > < a : K e y V a l u e O f D i a g r a m O b j e c t K e y a n y T y p e z b w N T n L X > < a : K e y > < K e y > T a b l e s \ D a t a   s a m l e t < / K e y > < / a : K e y > < a : V a l u e   i : t y p e = " D i a g r a m D i s p l a y N o d e V i e w S t a t e " > < H e i g h t > 1 5 0 < / H e i g h t > < I s E x p a n d e d > t r u e < / I s E x p a n d e d > < L a y e d O u t > t r u e < / L a y e d O u t > < W i d t h > 2 0 0 < / W i d t h > < / a : V a l u e > < / a : K e y V a l u e O f D i a g r a m O b j e c t K e y a n y T y p e z b w N T n L X > < a : K e y V a l u e O f D i a g r a m O b j e c t K e y a n y T y p e z b w N T n L X > < a : K e y > < K e y > T a b l e s \ D a t a   s a m l e t \ C o l u m n s \ I D < / K e y > < / a : K e y > < a : V a l u e   i : t y p e = " D i a g r a m D i s p l a y N o d e V i e w S t a t e " > < H e i g h t > 1 5 0 < / H e i g h t > < I s E x p a n d e d > t r u e < / I s E x p a n d e d > < W i d t h > 2 0 0 < / W i d t h > < / a : V a l u e > < / a : K e y V a l u e O f D i a g r a m O b j e c t K e y a n y T y p e z b w N T n L X > < a : K e y V a l u e O f D i a g r a m O b j e c t K e y a n y T y p e z b w N T n L X > < a : K e y > < K e y > T a b l e s \ D a t a   s a m l e t \ C o l u m n s \ P u n k t < / K e y > < / a : K e y > < a : V a l u e   i : t y p e = " D i a g r a m D i s p l a y N o d e V i e w S t a t e " > < H e i g h t > 1 5 0 < / H e i g h t > < I s E x p a n d e d > t r u e < / I s E x p a n d e d > < W i d t h > 2 0 0 < / W i d t h > < / a : V a l u e > < / a : K e y V a l u e O f D i a g r a m O b j e c t K e y a n y T y p e z b w N T n L X > < a : K e y V a l u e O f D i a g r a m O b j e c t K e y a n y T y p e z b w N T n L X > < a : K e y > < K e y > T a b l e s \ D a t a   s a m l e t \ C o l u m n s \ B e s k r i v e l s e < / K e y > < / a : K e y > < a : V a l u e   i : t y p e = " D i a g r a m D i s p l a y N o d e V i e w S t a t e " > < H e i g h t > 1 5 0 < / H e i g h t > < I s E x p a n d e d > t r u e < / I s E x p a n d e d > < W i d t h > 2 0 0 < / W i d t h > < / a : V a l u e > < / a : K e y V a l u e O f D i a g r a m O b j e c t K e y a n y T y p e z b w N T n L X > < a : K e y V a l u e O f D i a g r a m O b j e c t K e y a n y T y p e z b w N T n L X > < a : K e y > < K e y > T a b l e s \ D a t a   s a m l e t \ C o l u m n s \ M e t o d e < / K e y > < / a : K e y > < a : V a l u e   i : t y p e = " D i a g r a m D i s p l a y N o d e V i e w S t a t e " > < H e i g h t > 1 5 0 < / H e i g h t > < I s E x p a n d e d > t r u e < / I s E x p a n d e d > < W i d t h > 2 0 0 < / W i d t h > < / a : V a l u e > < / a : K e y V a l u e O f D i a g r a m O b j e c t K e y a n y T y p e z b w N T n L X > < a : K e y V a l u e O f D i a g r a m O b j e c t K e y a n y T y p e z b w N T n L X > < a : K e y > < K e y > T a b l e s \ D a t a   s a m l e t \ C o l u m n s \ B e l � b < / K e y > < / a : K e y > < a : V a l u e   i : t y p e = " D i a g r a m D i s p l a y N o d e V i e w S t a t e " > < H e i g h t > 1 5 0 < / H e i g h t > < I s E x p a n d e d > t r u e < / I s E x p a n d e d > < W i d t h > 2 0 0 < / W i d t h > < / a : V a l u e > < / a : K e y V a l u e O f D i a g r a m O b j e c t K e y a n y T y p e z b w N T n L X > < a : K e y V a l u e O f D i a g r a m O b j e c t K e y a n y T y p e z b w N T n L X > < a : K e y > < K e y > T a b l e s \ B e r e g n i n g e r < / K e y > < / a : K e y > < a : V a l u e   i : t y p e = " D i a g r a m D i s p l a y N o d e V i e w S t a t e " > < H e i g h t > 1 5 0 < / H e i g h t > < I s E x p a n d e d > t r u e < / I s E x p a n d e d > < L a y e d O u t > t r u e < / L a y e d O u t > < L e f t > 5 9 2 . 9 0 3 8 1 0 5 6 7 6 6 5 8 < / L e f t > < T a b I n d e x > 2 < / T a b I n d e x > < W i d t h > 2 0 0 < / W i d t h > < / a : V a l u e > < / a : K e y V a l u e O f D i a g r a m O b j e c t K e y a n y T y p e z b w N T n L X > < a : K e y V a l u e O f D i a g r a m O b j e c t K e y a n y T y p e z b w N T n L X > < a : K e y > < K e y > T a b l e s \ B e r e g n i n g e r \ C o l u m n s \ C o l u m n < / K e y > < / a : K e y > < a : V a l u e   i : t y p e = " D i a g r a m D i s p l a y N o d e V i e w S t a t e " > < H e i g h t > 1 5 0 < / H e i g h t > < I s E x p a n d e d > t r u e < / I s E x p a n d e d > < W i d t h > 2 0 0 < / W i d t h > < / a : V a l u e > < / a : K e y V a l u e O f D i a g r a m O b j e c t K e y a n y T y p e z b w N T n L X > < a : K e y V a l u e O f D i a g r a m O b j e c t K e y a n y T y p e z b w N T n L X > < a : K e y > < K e y > T a b l e s \ B e r e g n i n g e r \ M e a s u r e s \ B u d g e t   b e l � b < / K e y > < / a : K e y > < a : V a l u e   i : t y p e = " D i a g r a m D i s p l a y N o d e V i e w S t a t e " > < H e i g h t > 1 5 0 < / H e i g h t > < I s E x p a n d e d > t r u e < / I s E x p a n d e d > < W i d t h > 2 0 0 < / W i d t h > < / a : V a l u e > < / a : K e y V a l u e O f D i a g r a m O b j e c t K e y a n y T y p e z b w N T n L X > < a : K e y V a l u e O f D i a g r a m O b j e c t K e y a n y T y p e z b w N T n L X > < a : K e y > < K e y > T a b l e s \ S t a m d a t a < / K e y > < / a : K e y > < a : V a l u e   i : t y p e = " D i a g r a m D i s p l a y N o d e V i e w S t a t e " > < H e i g h t > 2 4 9 < / H e i g h t > < I s E x p a n d e d > t r u e < / I s E x p a n d e d > < L a y e d O u t > t r u e < / L a y e d O u t > < L e f t > 3 2 4 . 9 0 3 8 1 0 5 6 7 6 6 5 8 < / L e f t > < T a b I n d e x > 1 < / T a b I n d e x > < W i d t h > 2 3 5 < / W i d t h > < / a : V a l u e > < / a : K e y V a l u e O f D i a g r a m O b j e c t K e y a n y T y p e z b w N T n L X > < a : K e y V a l u e O f D i a g r a m O b j e c t K e y a n y T y p e z b w N T n L X > < a : K e y > < K e y > T a b l e s \ S t a m d a t a \ C o l u m n s \ I D < / K e y > < / a : K e y > < a : V a l u e   i : t y p e = " D i a g r a m D i s p l a y N o d e V i e w S t a t e " > < H e i g h t > 1 5 0 < / H e i g h t > < I s E x p a n d e d > t r u e < / I s E x p a n d e d > < W i d t h > 2 0 0 < / W i d t h > < / a : V a l u e > < / a : K e y V a l u e O f D i a g r a m O b j e c t K e y a n y T y p e z b w N T n L X > < a : K e y V a l u e O f D i a g r a m O b j e c t K e y a n y T y p e z b w N T n L X > < a : K e y > < K e y > T a b l e s \ S t a m d a t a \ C o l u m n s \ P r o j e k t n a v n < / K e y > < / a : K e y > < a : V a l u e   i : t y p e = " D i a g r a m D i s p l a y N o d e V i e w S t a t e " > < H e i g h t > 1 5 0 < / H e i g h t > < I s E x p a n d e d > t r u e < / I s E x p a n d e d > < W i d t h > 2 0 0 < / W i d t h > < / a : V a l u e > < / a : K e y V a l u e O f D i a g r a m O b j e c t K e y a n y T y p e z b w N T n L X > < a : K e y V a l u e O f D i a g r a m O b j e c t K e y a n y T y p e z b w N T n L X > < a : K e y > < K e y > T a b l e s \ S t a m d a t a \ C o l u m n s \ A n s v a r l i g   P L < / K e y > < / a : K e y > < a : V a l u e   i : t y p e = " D i a g r a m D i s p l a y N o d e V i e w S t a t e " > < H e i g h t > 1 5 0 < / H e i g h t > < I s E x p a n d e d > t r u e < / I s E x p a n d e d > < W i d t h > 2 0 0 < / W i d t h > < / a : V a l u e > < / a : K e y V a l u e O f D i a g r a m O b j e c t K e y a n y T y p e z b w N T n L X > < a : K e y V a l u e O f D i a g r a m O b j e c t K e y a n y T y p e z b w N T n L X > < a : K e y > < K e y > T a b l e s \ S t a m d a t a \ C o l u m n s \ S a g s n r . < / K e y > < / a : K e y > < a : V a l u e   i : t y p e = " D i a g r a m D i s p l a y N o d e V i e w S t a t e " > < H e i g h t > 1 5 0 < / H e i g h t > < I s E x p a n d e d > t r u e < / I s E x p a n d e d > < W i d t h > 2 0 0 < / W i d t h > < / a : V a l u e > < / a : K e y V a l u e O f D i a g r a m O b j e c t K e y a n y T y p e z b w N T n L X > < a : K e y V a l u e O f D i a g r a m O b j e c t K e y a n y T y p e z b w N T n L X > < a : K e y > < K e y > T a b l e s \ S t a m d a t a \ C o l u m n s \ Y B L - f a s e < / K e y > < / a : K e y > < a : V a l u e   i : t y p e = " D i a g r a m D i s p l a y N o d e V i e w S t a t e " > < H e i g h t > 1 5 0 < / H e i g h t > < I s E x p a n d e d > t r u e < / I s E x p a n d e d > < W i d t h > 2 0 0 < / W i d t h > < / a : V a l u e > < / a : K e y V a l u e O f D i a g r a m O b j e c t K e y a n y T y p e z b w N T n L X > < a : K e y V a l u e O f D i a g r a m O b j e c t K e y a n y T y p e z b w N T n L X > < a : K e y > < K e y > T a b l e s \ S t a m d a t a \ C o l u m n s \ R e v i s i o n s d a t o < / K e y > < / a : K e y > < a : V a l u e   i : t y p e = " D i a g r a m D i s p l a y N o d e V i e w S t a t e " > < H e i g h t > 1 5 0 < / H e i g h t > < I s E x p a n d e d > t r u e < / I s E x p a n d e d > < W i d t h > 2 0 0 < / W i d t h > < / a : V a l u e > < / a : K e y V a l u e O f D i a g r a m O b j e c t K e y a n y T y p e z b w N T n L X > < a : K e y V a l u e O f D i a g r a m O b j e c t K e y a n y T y p e z b w N T n L X > < a : K e y > < K e y > T a b l e s \ S t a m d a t a \ C o l u m n s \ R e v i s i o n s n u m m e r < / K e y > < / a : K e y > < a : V a l u e   i : t y p e = " D i a g r a m D i s p l a y N o d e V i e w S t a t e " > < H e i g h t > 1 5 0 < / H e i g h t > < I s E x p a n d e d > t r u e < / I s E x p a n d e d > < W i d t h > 2 0 0 < / W i d t h > < / a : V a l u e > < / a : K e y V a l u e O f D i a g r a m O b j e c t K e y a n y T y p e z b w N T n L X > < a : K e y V a l u e O f D i a g r a m O b j e c t K e y a n y T y p e z b w N T n L X > < a : K e y > < K e y > T a b l e s \ S t a m d a t a \ C o l u m n s \ F o r v e n t e t   s t a r t d a t o < / K e y > < / a : K e y > < a : V a l u e   i : t y p e = " D i a g r a m D i s p l a y N o d e V i e w S t a t e " > < H e i g h t > 1 5 0 < / H e i g h t > < I s E x p a n d e d > t r u e < / I s E x p a n d e d > < W i d t h > 2 0 0 < / W i d t h > < / a : V a l u e > < / a : K e y V a l u e O f D i a g r a m O b j e c t K e y a n y T y p e z b w N T n L X > < a : K e y V a l u e O f D i a g r a m O b j e c t K e y a n y T y p e z b w N T n L X > < a : K e y > < K e y > T a b l e s \ S t a m d a t a \ C o l u m n s \ F o r v e n t e t   s l u t d a t o < / K e y > < / a : K e y > < a : V a l u e   i : t y p e = " D i a g r a m D i s p l a y N o d e V i e w S t a t e " > < H e i g h t > 1 5 0 < / H e i g h t > < I s E x p a n d e d > t r u e < / I s E x p a n d e d > < W i d t h > 2 0 0 < / W i d t h > < / a : V a l u e > < / a : K e y V a l u e O f D i a g r a m O b j e c t K e y a n y T y p e z b w N T n L X > < a : K e y V a l u e O f D i a g r a m O b j e c t K e y a n y T y p e z b w N T n L X > < a : K e y > < K e y > T a b l e s \ S t a m d a t a \ C o l u m n s \ A n d e l   a n l � g < / K e y > < / a : K e y > < a : V a l u e   i : t y p e = " D i a g r a m D i s p l a y N o d e V i e w S t a t e " > < H e i g h t > 1 5 0 < / H e i g h t > < I s E x p a n d e d > t r u e < / I s E x p a n d e d > < W i d t h > 2 0 0 < / W i d t h > < / a : V a l u e > < / a : K e y V a l u e O f D i a g r a m O b j e c t K e y a n y T y p e z b w N T n L X > < a : K e y V a l u e O f D i a g r a m O b j e c t K e y a n y T y p e z b w N T n L X > < a : K e y > < K e y > T a b l e s \ S t a m d a t a \ C o l u m n s \ G o d k e n d t   a f < / K e y > < / a : K e y > < a : V a l u e   i : t y p e = " D i a g r a m D i s p l a y N o d e V i e w S t a t e " > < H e i g h t > 1 5 0 < / H e i g h t > < I s E x p a n d e d > t r u e < / I s E x p a n d e d > < W i d t h > 2 0 0 < / W i d t h > < / a : V a l u e > < / a : K e y V a l u e O f D i a g r a m O b j e c t K e y a n y T y p e z b w N T n L X > < a : K e y V a l u e O f D i a g r a m O b j e c t K e y a n y T y p e z b w N T n L X > < a : K e y > < K e y > R e l a t i o n s h i p s \ & l t ; T a b l e s \ D a t a   s a m l e t \ C o l u m n s \ P u n k t & g t ; - & l t ; T a b l e s \ D i m e n s i o n e r \ C o l u m n s \ P u n k t & g t ; < / K e y > < / a : K e y > < a : V a l u e   i : t y p e = " D i a g r a m D i s p l a y L i n k V i e w S t a t e " > < A u t o m a t i o n P r o p e r t y H e l p e r T e x t > E n d   p o i n t   1 :   ( 2 1 6 , 8 5 ) .   E n d   p o i n t   2 :   ( 3 3 1 , 3 9 4 )   < / A u t o m a t i o n P r o p e r t y H e l p e r T e x t > < L a y e d O u t > t r u e < / L a y e d O u t > < P o i n t s   x m l n s : b = " h t t p : / / s c h e m a s . d a t a c o n t r a c t . o r g / 2 0 0 4 / 0 7 / S y s t e m . W i n d o w s " > < b : P o i n t > < b : _ x > 2 1 5 . 9 9 9 9 9 9 9 9 9 9 9 9 9 7 < / b : _ x > < b : _ y > 8 5 < / b : _ y > < / b : P o i n t > < b : P o i n t > < b : _ x > 2 6 3 . 4 7 5 9 5 2 7 5 0 0 0 0 0 3 < / b : _ x > < b : _ y > 8 5 < / b : _ y > < / b : P o i n t > < b : P o i n t > < b : _ x > 2 6 5 . 4 7 5 9 5 2 7 5 0 0 0 0 0 3 < / b : _ x > < b : _ y > 8 7 < / b : _ y > < / b : P o i n t > < b : P o i n t > < b : _ x > 2 6 5 . 4 7 5 9 5 2 7 5 0 0 0 0 0 3 < / b : _ x > < b : _ y > 3 9 2 < / b : _ y > < / b : P o i n t > < b : P o i n t > < b : _ x > 2 6 7 . 4 7 5 9 5 2 7 5 0 0 0 0 0 3 < / b : _ x > < b : _ y > 3 9 4 < / b : _ y > < / b : P o i n t > < b : P o i n t > < b : _ x > 3 3 0 . 9 9 9 9 9 9 9 9 9 9 9 9 9 4 < / b : _ x > < b : _ y > 3 9 4 < / b : _ y > < / b : P o i n t > < / P o i n t s > < / a : V a l u e > < / a : K e y V a l u e O f D i a g r a m O b j e c t K e y a n y T y p e z b w N T n L X > < a : K e y V a l u e O f D i a g r a m O b j e c t K e y a n y T y p e z b w N T n L X > < a : K e y > < K e y > R e l a t i o n s h i p s \ & l t ; T a b l e s \ D a t a   s a m l e t \ C o l u m n s \ P u n k t & g t ; - & l t ; T a b l e s \ D i m e n s i o n e r \ C o l u m n s \ P u n k t & g t ; \ F K < / K e y > < / a : K e y > < a : V a l u e   i : t y p e = " D i a g r a m D i s p l a y L i n k E n d p o i n t V i e w S t a t e " > < H e i g h t > 1 6 < / H e i g h t > < L a b e l L o c a t i o n   x m l n s : b = " h t t p : / / s c h e m a s . d a t a c o n t r a c t . o r g / 2 0 0 4 / 0 7 / S y s t e m . W i n d o w s " > < b : _ x > 1 9 9 . 9 9 9 9 9 9 9 9 9 9 9 9 9 7 < / b : _ x > < b : _ y > 7 7 < / b : _ y > < / L a b e l L o c a t i o n > < L o c a t i o n   x m l n s : b = " h t t p : / / s c h e m a s . d a t a c o n t r a c t . o r g / 2 0 0 4 / 0 7 / S y s t e m . W i n d o w s " > < b : _ x > 1 9 9 . 9 9 9 9 9 9 9 9 9 9 9 9 9 7 < / b : _ x > < b : _ y > 8 5 < / b : _ y > < / L o c a t i o n > < S h a p e R o t a t e A n g l e > 3 6 0 < / S h a p e R o t a t e A n g l e > < W i d t h > 1 6 < / W i d t h > < / a : V a l u e > < / a : K e y V a l u e O f D i a g r a m O b j e c t K e y a n y T y p e z b w N T n L X > < a : K e y V a l u e O f D i a g r a m O b j e c t K e y a n y T y p e z b w N T n L X > < a : K e y > < K e y > R e l a t i o n s h i p s \ & l t ; T a b l e s \ D a t a   s a m l e t \ C o l u m n s \ P u n k t & g t ; - & l t ; T a b l e s \ D i m e n s i o n e r \ C o l u m n s \ P u n k t & g t ; \ P K < / K e y > < / a : K e y > < a : V a l u e   i : t y p e = " D i a g r a m D i s p l a y L i n k E n d p o i n t V i e w S t a t e " > < H e i g h t > 1 6 < / H e i g h t > < L a b e l L o c a t i o n   x m l n s : b = " h t t p : / / s c h e m a s . d a t a c o n t r a c t . o r g / 2 0 0 4 / 0 7 / S y s t e m . W i n d o w s " > < b : _ x > 3 3 0 . 9 9 9 9 9 9 9 9 9 9 9 9 9 4 < / b : _ x > < b : _ y > 3 8 6 < / b : _ y > < / L a b e l L o c a t i o n > < L o c a t i o n   x m l n s : b = " h t t p : / / s c h e m a s . d a t a c o n t r a c t . o r g / 2 0 0 4 / 0 7 / S y s t e m . W i n d o w s " > < b : _ x > 3 4 7 < / b : _ x > < b : _ y > 3 9 4 < / b : _ y > < / L o c a t i o n > < S h a p e R o t a t e A n g l e > 1 8 0 < / S h a p e R o t a t e A n g l e > < W i d t h > 1 6 < / W i d t h > < / a : V a l u e > < / a : K e y V a l u e O f D i a g r a m O b j e c t K e y a n y T y p e z b w N T n L X > < a : K e y V a l u e O f D i a g r a m O b j e c t K e y a n y T y p e z b w N T n L X > < a : K e y > < K e y > R e l a t i o n s h i p s \ & l t ; T a b l e s \ D a t a   s a m l e t \ C o l u m n s \ P u n k t & g t ; - & l t ; T a b l e s \ D i m e n s i o n e r \ C o l u m n s \ P u n k t & g t ; \ C r o s s F i l t e r < / K e y > < / a : K e y > < a : V a l u e   i : t y p e = " D i a g r a m D i s p l a y L i n k C r o s s F i l t e r V i e w S t a t e " > < P o i n t s   x m l n s : b = " h t t p : / / s c h e m a s . d a t a c o n t r a c t . o r g / 2 0 0 4 / 0 7 / S y s t e m . W i n d o w s " > < b : P o i n t > < b : _ x > 2 1 5 . 9 9 9 9 9 9 9 9 9 9 9 9 9 7 < / b : _ x > < b : _ y > 8 5 < / b : _ y > < / b : P o i n t > < b : P o i n t > < b : _ x > 2 6 3 . 4 7 5 9 5 2 7 5 0 0 0 0 0 3 < / b : _ x > < b : _ y > 8 5 < / b : _ y > < / b : P o i n t > < b : P o i n t > < b : _ x > 2 6 5 . 4 7 5 9 5 2 7 5 0 0 0 0 0 3 < / b : _ x > < b : _ y > 8 7 < / b : _ y > < / b : P o i n t > < b : P o i n t > < b : _ x > 2 6 5 . 4 7 5 9 5 2 7 5 0 0 0 0 0 3 < / b : _ x > < b : _ y > 3 9 2 < / b : _ y > < / b : P o i n t > < b : P o i n t > < b : _ x > 2 6 7 . 4 7 5 9 5 2 7 5 0 0 0 0 0 3 < / b : _ x > < b : _ y > 3 9 4 < / b : _ y > < / b : P o i n t > < b : P o i n t > < b : _ x > 3 3 0 . 9 9 9 9 9 9 9 9 9 9 9 9 9 4 < / b : _ x > < b : _ y > 3 9 4 < / b : _ y > < / b : P o i n t > < / P o i n t s > < / a : V a l u e > < / a : K e y V a l u e O f D i a g r a m O b j e c t K e y a n y T y p e z b w N T n L X > < a : K e y V a l u e O f D i a g r a m O b j e c t K e y a n y T y p e z b w N T n L X > < a : K e y > < K e y > R e l a t i o n s h i p s \ & l t ; T a b l e s \ D a t a   s a m l e t \ C o l u m n s \ I D & g t ; - & l t ; T a b l e s \ S t a m d a t a \ C o l u m n s \ I D & g t ; < / K e y > < / a : K e y > < a : V a l u e   i : t y p e = " D i a g r a m D i s p l a y L i n k V i e w S t a t e " > < A u t o m a t i o n P r o p e r t y H e l p e r T e x t > E n d   p o i n t   1 :   ( 2 1 6 , 6 5 ) .   E n d   p o i n t   2 :   ( 3 0 8 , 9 0 3 8 1 0 5 6 7 6 6 6 , 1 2 4 , 5 )   < / A u t o m a t i o n P r o p e r t y H e l p e r T e x t > < L a y e d O u t > t r u e < / L a y e d O u t > < P o i n t s   x m l n s : b = " h t t p : / / s c h e m a s . d a t a c o n t r a c t . o r g / 2 0 0 4 / 0 7 / S y s t e m . W i n d o w s " > < b : P o i n t > < b : _ x > 2 1 6 < / b : _ x > < b : _ y > 6 5 < / b : _ y > < / b : P o i n t > < b : P o i n t > < b : _ x > 2 6 8 . 4 7 5 9 5 2 7 5 0 0 0 0 0 3 < / b : _ x > < b : _ y > 6 5 < / b : _ y > < / b : P o i n t > < b : P o i n t > < b : _ x > 2 7 0 . 4 7 5 9 5 2 7 5 0 0 0 0 0 3 < / b : _ x > < b : _ y > 6 7 < / b : _ y > < / b : P o i n t > < b : P o i n t > < b : _ x > 2 7 0 . 4 7 5 9 5 2 7 5 0 0 0 0 0 3 < / b : _ x > < b : _ y > 1 2 2 . 5 < / b : _ y > < / b : P o i n t > < b : P o i n t > < b : _ x > 2 7 2 . 4 7 5 9 5 2 7 5 0 0 0 0 0 3 < / b : _ x > < b : _ y > 1 2 4 . 5 < / b : _ y > < / b : P o i n t > < b : P o i n t > < b : _ x > 3 0 8 . 9 0 3 8 1 0 5 6 7 6 6 5 8 < / b : _ x > < b : _ y > 1 2 4 . 5 < / b : _ y > < / b : P o i n t > < / P o i n t s > < / a : V a l u e > < / a : K e y V a l u e O f D i a g r a m O b j e c t K e y a n y T y p e z b w N T n L X > < a : K e y V a l u e O f D i a g r a m O b j e c t K e y a n y T y p e z b w N T n L X > < a : K e y > < K e y > R e l a t i o n s h i p s \ & l t ; T a b l e s \ D a t a   s a m l e t \ C o l u m n s \ I D & g t ; - & l t ; T a b l e s \ S t a m d a t a \ C o l u m n s \ I D & g t ; \ F K < / K e y > < / a : K e y > < a : V a l u e   i : t y p e = " D i a g r a m D i s p l a y L i n k E n d p o i n t V i e w S t a t e " > < H e i g h t > 1 6 < / H e i g h t > < L a b e l L o c a t i o n   x m l n s : b = " h t t p : / / s c h e m a s . d a t a c o n t r a c t . o r g / 2 0 0 4 / 0 7 / S y s t e m . W i n d o w s " > < b : _ x > 2 0 0 < / b : _ x > < b : _ y > 5 7 < / b : _ y > < / L a b e l L o c a t i o n > < L o c a t i o n   x m l n s : b = " h t t p : / / s c h e m a s . d a t a c o n t r a c t . o r g / 2 0 0 4 / 0 7 / S y s t e m . W i n d o w s " > < b : _ x > 2 0 0 < / b : _ x > < b : _ y > 6 5 < / b : _ y > < / L o c a t i o n > < S h a p e R o t a t e A n g l e > 3 6 0 < / S h a p e R o t a t e A n g l e > < W i d t h > 1 6 < / W i d t h > < / a : V a l u e > < / a : K e y V a l u e O f D i a g r a m O b j e c t K e y a n y T y p e z b w N T n L X > < a : K e y V a l u e O f D i a g r a m O b j e c t K e y a n y T y p e z b w N T n L X > < a : K e y > < K e y > R e l a t i o n s h i p s \ & l t ; T a b l e s \ D a t a   s a m l e t \ C o l u m n s \ I D & g t ; - & l t ; T a b l e s \ S t a m d a t a \ C o l u m n s \ I D & g t ; \ P K < / K e y > < / a : K e y > < a : V a l u e   i : t y p e = " D i a g r a m D i s p l a y L i n k E n d p o i n t V i e w S t a t e " > < H e i g h t > 1 6 < / H e i g h t > < L a b e l L o c a t i o n   x m l n s : b = " h t t p : / / s c h e m a s . d a t a c o n t r a c t . o r g / 2 0 0 4 / 0 7 / S y s t e m . W i n d o w s " > < b : _ x > 3 0 8 . 9 0 3 8 1 0 5 6 7 6 6 5 8 < / b : _ x > < b : _ y > 1 1 6 . 5 < / b : _ y > < / L a b e l L o c a t i o n > < L o c a t i o n   x m l n s : b = " h t t p : / / s c h e m a s . d a t a c o n t r a c t . o r g / 2 0 0 4 / 0 7 / S y s t e m . W i n d o w s " > < b : _ x > 3 2 4 . 9 0 3 8 1 0 5 6 7 6 6 5 8 < / b : _ x > < b : _ y > 1 2 4 . 5 < / b : _ y > < / L o c a t i o n > < S h a p e R o t a t e A n g l e > 1 8 0 < / S h a p e R o t a t e A n g l e > < W i d t h > 1 6 < / W i d t h > < / a : V a l u e > < / a : K e y V a l u e O f D i a g r a m O b j e c t K e y a n y T y p e z b w N T n L X > < a : K e y V a l u e O f D i a g r a m O b j e c t K e y a n y T y p e z b w N T n L X > < a : K e y > < K e y > R e l a t i o n s h i p s \ & l t ; T a b l e s \ D a t a   s a m l e t \ C o l u m n s \ I D & g t ; - & l t ; T a b l e s \ S t a m d a t a \ C o l u m n s \ I D & g t ; \ C r o s s F i l t e r < / K e y > < / a : K e y > < a : V a l u e   i : t y p e = " D i a g r a m D i s p l a y L i n k C r o s s F i l t e r V i e w S t a t e " > < P o i n t s   x m l n s : b = " h t t p : / / s c h e m a s . d a t a c o n t r a c t . o r g / 2 0 0 4 / 0 7 / S y s t e m . W i n d o w s " > < b : P o i n t > < b : _ x > 2 1 6 < / b : _ x > < b : _ y > 6 5 < / b : _ y > < / b : P o i n t > < b : P o i n t > < b : _ x > 2 6 8 . 4 7 5 9 5 2 7 5 0 0 0 0 0 3 < / b : _ x > < b : _ y > 6 5 < / b : _ y > < / b : P o i n t > < b : P o i n t > < b : _ x > 2 7 0 . 4 7 5 9 5 2 7 5 0 0 0 0 0 3 < / b : _ x > < b : _ y > 6 7 < / b : _ y > < / b : P o i n t > < b : P o i n t > < b : _ x > 2 7 0 . 4 7 5 9 5 2 7 5 0 0 0 0 0 3 < / b : _ x > < b : _ y > 1 2 2 . 5 < / b : _ y > < / b : P o i n t > < b : P o i n t > < b : _ x > 2 7 2 . 4 7 5 9 5 2 7 5 0 0 0 0 0 3 < / b : _ x > < b : _ y > 1 2 4 . 5 < / b : _ y > < / b : P o i n t > < b : P o i n t > < b : _ x > 3 0 8 . 9 0 3 8 1 0 5 6 7 6 6 5 8 < / b : _ x > < b : _ y > 1 2 4 . 5 < / b : _ y > < / b : P o i n t > < / P o i n t s > < / a : V a l u e > < / a : K e y V a l u e O f D i a g r a m O b j e c t K e y a n y T y p e z b w N T n L X > < / V i e w S t a t e s > < / D i a g r a m M a n a g e r . S e r i a l i z a b l e D i a g r a m > < / A r r a y O f D i a g r a m M a n a g e r . S e r i a l i z a b l e D i a g r a m > ] ] > < / C u s t o m C o n t e n t > < / G e m i n i > 
</file>

<file path=customXml/item7.xml>��< ? x m l   v e r s i o n = " 1 . 0 "   e n c o d i n g = " U T F - 1 6 " ? > < G e m i n i   x m l n s = " h t t p : / / g e m i n i / p i v o t c u s t o m i z a t i o n / T a b l e O r d e r " > < C u s t o m C o n t e n t > < ! [ C D A T A [ D i m e n s i o n e r _ 0 0 f a 7 6 e 2 - 1 4 5 7 - 4 e e 4 - b 4 9 7 - f 3 d 9 4 8 c 3 7 e a 3 , D a t a   s a m l e t _ 7 d 1 d 1 d c 4 - d 1 b 9 - 4 4 a c - 9 e 9 8 - e 6 b 8 c f 3 7 c 3 d 1 , B e r e g n i n g e r , S t a m d a t a _ 0 e b 2 f b 0 e - 1 2 f 2 - 4 3 f 6 - 8 1 f 7 - 3 4 2 6 2 6 1 0 c c f a ] ] > < / C u s t o m C o n t e n t > < / G e m i n i > 
</file>

<file path=customXml/item8.xml>��< ? x m l   v e r s i o n = " 1 . 0 "   e n c o d i n g = " U T F - 1 6 " ? > < G e m i n i   x m l n s = " h t t p : / / g e m i n i / p i v o t c u s t o m i z a t i o n / R e l a t i o n s h i p A u t o D e t e c t i o n E n a b l e d " > < C u s t o m C o n t e n t > < ! [ C D A T A [ T r u e ] ] > < / C u s t o m C o n t e n t > < / G e m i n i > 
</file>

<file path=customXml/item9.xml>��< ? x m l   v e r s i o n = " 1 . 0 "   e n c o d i n g = " U T F - 1 6 " ? > < G e m i n i   x m l n s = " h t t p : / / g e m i n i / p i v o t c u s t o m i z a t i o n / 9 0 0 8 e 2 e 9 - 6 b b a - 4 7 0 a - a 8 d 7 - 5 3 c 9 5 4 a a 3 0 f d " > < C u s t o m C o n t e n t > < ! [ C D A T A [ < ? x m l   v e r s i o n = " 1 . 0 "   e n c o d i n g = " u t f - 1 6 " ? > < S e t t i n g s > < C a l c u l a t e d F i e l d s > < i t e m > < M e a s u r e N a m e > B u d g e t   b e l � b < / M e a s u r e N a m e > < D i s p l a y N a m e > B u d g e t   b e l � b < / 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4CAA696E-9CFB-4D7A-B06E-2DEB1BF4F2DE}">
  <ds:schemaRefs>
    <ds:schemaRef ds:uri="http://schemas.microsoft.com/DataMashup"/>
  </ds:schemaRefs>
</ds:datastoreItem>
</file>

<file path=customXml/itemProps10.xml><?xml version="1.0" encoding="utf-8"?>
<ds:datastoreItem xmlns:ds="http://schemas.openxmlformats.org/officeDocument/2006/customXml" ds:itemID="{BBB04181-8DC7-4EBE-AA32-01640F0A98B2}">
  <ds:schemaRefs/>
</ds:datastoreItem>
</file>

<file path=customXml/itemProps11.xml><?xml version="1.0" encoding="utf-8"?>
<ds:datastoreItem xmlns:ds="http://schemas.openxmlformats.org/officeDocument/2006/customXml" ds:itemID="{FD05CA81-43C5-42E8-A0A0-6BF5760D1E0C}">
  <ds:schemaRefs/>
</ds:datastoreItem>
</file>

<file path=customXml/itemProps12.xml><?xml version="1.0" encoding="utf-8"?>
<ds:datastoreItem xmlns:ds="http://schemas.openxmlformats.org/officeDocument/2006/customXml" ds:itemID="{5B5BF383-9DC6-4291-85D3-3CC44BE9BD13}">
  <ds:schemaRefs/>
</ds:datastoreItem>
</file>

<file path=customXml/itemProps13.xml><?xml version="1.0" encoding="utf-8"?>
<ds:datastoreItem xmlns:ds="http://schemas.openxmlformats.org/officeDocument/2006/customXml" ds:itemID="{804BD937-6905-41BC-99DD-64B486C85FE8}">
  <ds:schemaRefs/>
</ds:datastoreItem>
</file>

<file path=customXml/itemProps14.xml><?xml version="1.0" encoding="utf-8"?>
<ds:datastoreItem xmlns:ds="http://schemas.openxmlformats.org/officeDocument/2006/customXml" ds:itemID="{4FC0BE4F-B93F-4548-9F93-7DB25297B070}">
  <ds:schemaRefs/>
</ds:datastoreItem>
</file>

<file path=customXml/itemProps15.xml><?xml version="1.0" encoding="utf-8"?>
<ds:datastoreItem xmlns:ds="http://schemas.openxmlformats.org/officeDocument/2006/customXml" ds:itemID="{8BC624D6-17B4-4233-853F-A214E40A1518}">
  <ds:schemaRefs/>
</ds:datastoreItem>
</file>

<file path=customXml/itemProps16.xml><?xml version="1.0" encoding="utf-8"?>
<ds:datastoreItem xmlns:ds="http://schemas.openxmlformats.org/officeDocument/2006/customXml" ds:itemID="{E2F8CB62-7E35-4DEA-8806-1262A05F1BF3}">
  <ds:schemaRefs/>
</ds:datastoreItem>
</file>

<file path=customXml/itemProps17.xml><?xml version="1.0" encoding="utf-8"?>
<ds:datastoreItem xmlns:ds="http://schemas.openxmlformats.org/officeDocument/2006/customXml" ds:itemID="{878F13F4-FAA3-4B49-8FF8-769DCFB0B59A}">
  <ds:schemaRefs/>
</ds:datastoreItem>
</file>

<file path=customXml/itemProps18.xml><?xml version="1.0" encoding="utf-8"?>
<ds:datastoreItem xmlns:ds="http://schemas.openxmlformats.org/officeDocument/2006/customXml" ds:itemID="{BDDD9AF0-9C6A-43A4-A891-25CBDB5D8615}">
  <ds:schemaRefs/>
</ds:datastoreItem>
</file>

<file path=customXml/itemProps19.xml><?xml version="1.0" encoding="utf-8"?>
<ds:datastoreItem xmlns:ds="http://schemas.openxmlformats.org/officeDocument/2006/customXml" ds:itemID="{204219C8-3519-411E-907D-06352E7A1D4B}">
  <ds:schemaRefs/>
</ds:datastoreItem>
</file>

<file path=customXml/itemProps2.xml><?xml version="1.0" encoding="utf-8"?>
<ds:datastoreItem xmlns:ds="http://schemas.openxmlformats.org/officeDocument/2006/customXml" ds:itemID="{A24F3345-6187-4767-B654-15EEBCCAAA12}">
  <ds:schemaRefs/>
</ds:datastoreItem>
</file>

<file path=customXml/itemProps20.xml><?xml version="1.0" encoding="utf-8"?>
<ds:datastoreItem xmlns:ds="http://schemas.openxmlformats.org/officeDocument/2006/customXml" ds:itemID="{744BE382-4C2D-4BEF-9288-4413EF1DBDEA}">
  <ds:schemaRefs/>
</ds:datastoreItem>
</file>

<file path=customXml/itemProps3.xml><?xml version="1.0" encoding="utf-8"?>
<ds:datastoreItem xmlns:ds="http://schemas.openxmlformats.org/officeDocument/2006/customXml" ds:itemID="{17F8C007-93F2-48DE-9135-95E3D885E8C1}">
  <ds:schemaRefs/>
</ds:datastoreItem>
</file>

<file path=customXml/itemProps4.xml><?xml version="1.0" encoding="utf-8"?>
<ds:datastoreItem xmlns:ds="http://schemas.openxmlformats.org/officeDocument/2006/customXml" ds:itemID="{4B50D3BB-ED6A-4B63-862D-F1C47A4B30EF}">
  <ds:schemaRefs/>
</ds:datastoreItem>
</file>

<file path=customXml/itemProps5.xml><?xml version="1.0" encoding="utf-8"?>
<ds:datastoreItem xmlns:ds="http://schemas.openxmlformats.org/officeDocument/2006/customXml" ds:itemID="{23C637CD-8217-4BC3-B761-238F85FBDCF4}">
  <ds:schemaRefs/>
</ds:datastoreItem>
</file>

<file path=customXml/itemProps6.xml><?xml version="1.0" encoding="utf-8"?>
<ds:datastoreItem xmlns:ds="http://schemas.openxmlformats.org/officeDocument/2006/customXml" ds:itemID="{2681C979-7AF1-463E-B3A6-EEADAD515A4A}">
  <ds:schemaRefs/>
</ds:datastoreItem>
</file>

<file path=customXml/itemProps7.xml><?xml version="1.0" encoding="utf-8"?>
<ds:datastoreItem xmlns:ds="http://schemas.openxmlformats.org/officeDocument/2006/customXml" ds:itemID="{EE942E2B-9835-4B26-BF90-5AEE7D2F68DC}">
  <ds:schemaRefs/>
</ds:datastoreItem>
</file>

<file path=customXml/itemProps8.xml><?xml version="1.0" encoding="utf-8"?>
<ds:datastoreItem xmlns:ds="http://schemas.openxmlformats.org/officeDocument/2006/customXml" ds:itemID="{901A9DD0-3D38-4474-ADD7-47E5CB9CCFBF}">
  <ds:schemaRefs/>
</ds:datastoreItem>
</file>

<file path=customXml/itemProps9.xml><?xml version="1.0" encoding="utf-8"?>
<ds:datastoreItem xmlns:ds="http://schemas.openxmlformats.org/officeDocument/2006/customXml" ds:itemID="{273B0B0B-51A8-49D4-882B-1579CC5A8B5E}">
  <ds:schemaRefs/>
</ds:datastoreItem>
</file>

<file path=docMetadata/LabelInfo.xml><?xml version="1.0" encoding="utf-8"?>
<clbl:labelList xmlns:clbl="http://schemas.microsoft.com/office/2020/mipLabelMetadata">
  <clbl:label id="{61fd1d36-fecb-47ca-b7d7-d0df0370a198}" enabled="0" method="" siteId="{61fd1d36-fecb-47ca-b7d7-d0df0370a19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Navngivne områder</vt:lpstr>
      </vt:variant>
      <vt:variant>
        <vt:i4>5</vt:i4>
      </vt:variant>
    </vt:vector>
  </HeadingPairs>
  <TitlesOfParts>
    <vt:vector size="22" baseType="lpstr">
      <vt:lpstr>Vejledning</vt:lpstr>
      <vt:lpstr>Teknisk vejledning</vt:lpstr>
      <vt:lpstr>Samleark</vt:lpstr>
      <vt:lpstr>Nedbrydning</vt:lpstr>
      <vt:lpstr>Tømrer</vt:lpstr>
      <vt:lpstr>Gulv</vt:lpstr>
      <vt:lpstr>Murer</vt:lpstr>
      <vt:lpstr>Maler</vt:lpstr>
      <vt:lpstr>VVS</vt:lpstr>
      <vt:lpstr>Ventilation</vt:lpstr>
      <vt:lpstr>El</vt:lpstr>
      <vt:lpstr>Jord</vt:lpstr>
      <vt:lpstr>Inventar</vt:lpstr>
      <vt:lpstr>Output</vt:lpstr>
      <vt:lpstr>Pivot</vt:lpstr>
      <vt:lpstr>Eksempel Successiv kalkulation</vt:lpstr>
      <vt:lpstr>Forklaring Successiv kalkulatio</vt:lpstr>
      <vt:lpstr>Vejledning!RangeBudgetStart</vt:lpstr>
      <vt:lpstr>RangeBudgetStart</vt:lpstr>
      <vt:lpstr>El!Udskriftsområde</vt:lpstr>
      <vt:lpstr>Samleark!Udskriftsområde</vt:lpstr>
      <vt:lpstr>Vejledning!Udskriftsområde</vt:lpstr>
    </vt:vector>
  </TitlesOfParts>
  <Company>Aarhus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Lasse Bjerg</dc:creator>
  <cp:lastModifiedBy>Jacob Hansen Beuschau</cp:lastModifiedBy>
  <cp:lastPrinted>2025-04-08T08:46:48Z</cp:lastPrinted>
  <dcterms:created xsi:type="dcterms:W3CDTF">2025-03-03T08:58:53Z</dcterms:created>
  <dcterms:modified xsi:type="dcterms:W3CDTF">2026-01-07T08:34:30Z</dcterms:modified>
</cp:coreProperties>
</file>